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<sst xmlns="http://schemas.openxmlformats.org/spreadsheetml/2006/main" count="1369" uniqueCount="396">
  <si>
    <t>Size in FP</t>
  </si>
  <si>
    <t>MIS</t>
  </si>
  <si>
    <t>Projects</t>
  </si>
  <si>
    <t>Web</t>
  </si>
  <si>
    <t>Outsource</t>
  </si>
  <si>
    <t>Embedded</t>
  </si>
  <si>
    <t>Military</t>
  </si>
  <si>
    <t>Average</t>
  </si>
  <si>
    <t>Table 1:  Average Schedules in Calendar Months by Type and Size of Software Project</t>
  </si>
  <si>
    <t>Civilian</t>
  </si>
  <si>
    <t>Government</t>
  </si>
  <si>
    <t>Table 2:  Average Staff Headcount by Type and Size of Software Project</t>
  </si>
  <si>
    <t>Table 3:  Average Effort in Person Months by Type and Size of Software Project</t>
  </si>
  <si>
    <t>(Note: All technical personnel and project managers are assumed.)</t>
  </si>
  <si>
    <t>Systems &amp;</t>
  </si>
  <si>
    <t>Table 4: Average Productivity Rates in Function Points per Staff Month by Type and Size of Software Project</t>
  </si>
  <si>
    <t>Compensation</t>
  </si>
  <si>
    <t>Table 5:  Average Burdened Cost by Type and Size of Software Projects</t>
  </si>
  <si>
    <t>Burden rate</t>
  </si>
  <si>
    <t>Table 6:  Average Cost per Function Point by Type and Size of Software Projects</t>
  </si>
  <si>
    <t>Note 1: Data for software projects of 1,000,000 function point size is hypothetical, since no projects of that size exist circa 2008.</t>
  </si>
  <si>
    <t>Table 7: Average Defect Potential per Function Point by Type and Size of Software Projects</t>
  </si>
  <si>
    <t>Table 8:  Total Potential Defects by Type and Size of Software Projects</t>
  </si>
  <si>
    <t>Table 9: Defect Removal Efficiency by Type and Size of Software Projects</t>
  </si>
  <si>
    <t>Table 10: Delivered Defects by Type and Size of Software Projects</t>
  </si>
  <si>
    <t>Table 11: Delivered Defects per Function Point by Type and Size of Software Projects</t>
  </si>
  <si>
    <t>Commercial</t>
  </si>
  <si>
    <t>Note 2: Data assumes IFPUG function points, version 4.2.</t>
  </si>
  <si>
    <t>Total</t>
  </si>
  <si>
    <t>(Note: Defect potential includes requirements, design, code, document, and bad-fix defect categories)</t>
  </si>
  <si>
    <r>
      <t>(</t>
    </r>
    <r>
      <rPr>
        <sz val="10"/>
        <rFont val="Arial"/>
        <family val="2"/>
      </rPr>
      <t>Note:  Defect potential includes requirements, design, code, document, and bad-fix defect categories)</t>
    </r>
  </si>
  <si>
    <t>(Note: Defect removal activities include inspections and all forms of testing)</t>
  </si>
  <si>
    <t>(Note: About 25% of delivered defects are of high severity levels)</t>
  </si>
  <si>
    <t>Burdened cost</t>
  </si>
  <si>
    <t>Burden %</t>
  </si>
  <si>
    <t>OVERVIEW OF THE UNITED STATES SOFTWARE INDUSTRY RESULTS CIRCA 2008</t>
  </si>
  <si>
    <t>Note 3: The spreadsheets omit the entertainment and games industries due to lack of data.</t>
  </si>
  <si>
    <t>(Note: Both new development projects and maintenance and enhancement projects are included.)</t>
  </si>
  <si>
    <t>(Note: Schedules run from start of requirments until delivery to initial customers.)</t>
  </si>
  <si>
    <t>(Note: Complete life cycle from start of requirements to delivery is assumed.  Technical workers and managers are assumed.)</t>
  </si>
  <si>
    <t>(Note: More than 90 kinds of specialists are employed in the overall U.S. software industry.)</t>
  </si>
  <si>
    <t>Domestic</t>
  </si>
  <si>
    <t>Total staff</t>
  </si>
  <si>
    <t>Cancelled staff</t>
  </si>
  <si>
    <t>Difference</t>
  </si>
  <si>
    <t>Percent</t>
  </si>
  <si>
    <t>Note 4: The data is preliminary and has a high margin of error.  It is provided for calibration and correction purposes only.</t>
  </si>
  <si>
    <t>Note 5: Average values are misleading, since the ranges in both directions can vary by more than 2 to 1.</t>
  </si>
  <si>
    <t>New Projects</t>
  </si>
  <si>
    <t>M&amp;E Projects</t>
  </si>
  <si>
    <t>Copyright © 2008 by Capers Jones &amp; Associates LLC.  All rights reserved.</t>
  </si>
  <si>
    <t>(Note: Cancelled projects cost more than completed projects of the same size and type.)</t>
  </si>
  <si>
    <t>Note 6: Sample size is only about 13,000 projects, which is too small for accuracy.</t>
  </si>
  <si>
    <t>Note 7: Projects &gt; 10,000 function points are extremely hazardous</t>
  </si>
  <si>
    <t>(Note:  Data is expressed as a percentage of the original size of the application in function points)</t>
  </si>
  <si>
    <t>(Note: security vulnerabilities and poor quality are both common software problems circa 2008)</t>
  </si>
  <si>
    <t>(Note: the odds of Identify theft and loss of proprietary and confidential data appear to the be growing rapidly.)</t>
  </si>
  <si>
    <t>Note 10: U.S. software is aging faster than it is replaced, and decaying faster than it is renovated.</t>
  </si>
  <si>
    <t>Note 8: Quality control of U.S. software is not adequate circa 2008.</t>
  </si>
  <si>
    <t>Note 9: Security control of U.S. software is not adequate circa 2008.</t>
  </si>
  <si>
    <t>(Note: Requirements creep runs from the end of the requirements phase through the design and code phases)</t>
  </si>
  <si>
    <t>(Note: Requirements creep and churn run from the end of the requirements phase through the design and code phases)</t>
  </si>
  <si>
    <t>(Note: The starting sizes of this table are the nominal sizes in the left column.  The results are the additional function points due to creep and churn.)</t>
  </si>
  <si>
    <t>(Note: The size of the project at the end of the requirements phase is shown by the values in the left column.)</t>
  </si>
  <si>
    <t>six-sigma for software, renovation of legacy applications, removal of error-prone modules, formal measurements, daily SCRUM sessions and full testing)</t>
  </si>
  <si>
    <t>(Note: Successful technologies include formal estimates, formal inspections, formal change control, formal tracking, CMM 3 or higher, TSP/PSP, project offices,</t>
  </si>
  <si>
    <t>(Note: Reuse includes requirements, architecture, designs, source code, test cases, and user guides)</t>
  </si>
  <si>
    <t>(Note:  Successful reuse requires a certified source for reusable components and near zero-defect quality levels)</t>
  </si>
  <si>
    <t>(Note: First year defect reports rise with numbers of users.  But excessive delivered defects will slow or stop usage growth.)</t>
  </si>
  <si>
    <t>(Note: Due to bad-fix injections and error-prone modules, zero defect status does not occur above 1000 function points)</t>
  </si>
  <si>
    <t>Table 12: Percentage of Delivered Defects found and reported by customers in the first year of application usage</t>
  </si>
  <si>
    <t>Table 13:  Probable Number of Defects found and reported by customers in the first year of application usage</t>
  </si>
  <si>
    <t>Table 14: Probable Number of Defects per Function Point found and reported by customers in the first year of application usage</t>
  </si>
  <si>
    <t>(Note: Above 10,000 function points the stabilization period is longer than the life expectancy of the applications.)</t>
  </si>
  <si>
    <r>
      <t>(</t>
    </r>
    <r>
      <rPr>
        <sz val="10"/>
        <rFont val="Arial"/>
        <family val="2"/>
      </rPr>
      <t>Note:  Most delivered defects will not be found for a number of years.)</t>
    </r>
  </si>
  <si>
    <t>(Note: About 25% of first year defect reports are high-severity defects.)</t>
  </si>
  <si>
    <t>(Note: About 25% of first-year defect reports are high-severity defects.)</t>
  </si>
  <si>
    <t>Development %</t>
  </si>
  <si>
    <t>Maintenance %</t>
  </si>
  <si>
    <t>(Note: Burden or overhead rates and average compensation vary by more than 50% in either direction)</t>
  </si>
  <si>
    <t>(Note:  Because most cancelled projects are late and overbudget, they cost substantially more than successful projects of the same size)</t>
  </si>
  <si>
    <t>(Note: Data is expressed in terms of calendar years from first deployment until last retirement. Length of service is proportional to size.)</t>
  </si>
  <si>
    <t>(Note: At any given period about one third of U.S. software personnel are working on projects that will never be completed.)</t>
  </si>
  <si>
    <t>(Note: Cancellation rates are directly proportional to application size.  Projects &gt; 10,000 function points are extremely hazardous.)</t>
  </si>
  <si>
    <t>(Note: Full renovation includes restructuring, refactoring, data mining of business rules, function point analysis of size, removal of error-prone modules)</t>
  </si>
  <si>
    <t>(Note: Both the value and the difficulty of renovation increase as application size increases.)</t>
  </si>
  <si>
    <t>(Note: As software applications age structural complexity increases and bad-fix injections increase.  Decay is proportional to application size)</t>
  </si>
  <si>
    <t>Number of</t>
  </si>
  <si>
    <t xml:space="preserve">Years: </t>
  </si>
  <si>
    <t>TOTAL</t>
  </si>
  <si>
    <t>Sample Size</t>
  </si>
  <si>
    <t>Needed for</t>
  </si>
  <si>
    <t>Accuracy</t>
  </si>
  <si>
    <t>Probable</t>
  </si>
  <si>
    <t>Accuracy of</t>
  </si>
  <si>
    <t>Current Tables</t>
  </si>
  <si>
    <t>Low</t>
  </si>
  <si>
    <t>Very Low</t>
  </si>
  <si>
    <t>Fully Measured</t>
  </si>
  <si>
    <t>in 2008</t>
  </si>
  <si>
    <t>Legacy</t>
  </si>
  <si>
    <t>Applications</t>
  </si>
  <si>
    <t>Total U.S.</t>
  </si>
  <si>
    <t>Considered</t>
  </si>
  <si>
    <t>Earliest Year</t>
  </si>
  <si>
    <t>Latest Year</t>
  </si>
  <si>
    <t>On-going</t>
  </si>
  <si>
    <t>U.S.Projects</t>
  </si>
  <si>
    <t>(estimated)</t>
  </si>
  <si>
    <t>(Note: For older forms of software maintenance and enhancement workers outnumber development workers.  For web application, the reverse is true.)</t>
  </si>
  <si>
    <t>(Note: For applications running on computers connected to the web, security vulnerabilities approach 100%)</t>
  </si>
  <si>
    <t>(Note: Software that is in active use grows throughout its lifetime.)</t>
  </si>
  <si>
    <t>(Note: Large applications have longer service lives than small applications because replacement is so expensive at above 10,000 function points)</t>
  </si>
  <si>
    <r>
      <t>Copyright</t>
    </r>
    <r>
      <rPr>
        <sz val="11"/>
        <color indexed="8"/>
        <rFont val="Calibri"/>
        <family val="2"/>
      </rPr>
      <t>©2008 by Capers Jones &amp; Associates LLC.</t>
    </r>
  </si>
  <si>
    <t>Capers Jones</t>
  </si>
  <si>
    <t>Application</t>
  </si>
  <si>
    <t>Size in</t>
  </si>
  <si>
    <t>Function Points</t>
  </si>
  <si>
    <t>(IFPUG 4.2)</t>
  </si>
  <si>
    <t>Star Wars missile defense</t>
  </si>
  <si>
    <t>Oracle</t>
  </si>
  <si>
    <t>WWMCCS</t>
  </si>
  <si>
    <t>U.S. Air Traffic control</t>
  </si>
  <si>
    <t>Israeli air defense system</t>
  </si>
  <si>
    <t>SAP</t>
  </si>
  <si>
    <t>NSA Echelon</t>
  </si>
  <si>
    <t>North Korean Border defenses</t>
  </si>
  <si>
    <t>Iran's air defense system</t>
  </si>
  <si>
    <t>Aegis destroyer C&amp;C</t>
  </si>
  <si>
    <t>Microsoft VISTA</t>
  </si>
  <si>
    <t>Microsoft XP</t>
  </si>
  <si>
    <t>IBM MVS</t>
  </si>
  <si>
    <t xml:space="preserve">Microsoft Office Professional </t>
  </si>
  <si>
    <t>Airline reservation system</t>
  </si>
  <si>
    <t>NSA code decryption</t>
  </si>
  <si>
    <t>FBI Carnivore</t>
  </si>
  <si>
    <t>Brain/Computer interface</t>
  </si>
  <si>
    <t>FBI fingerprint analysis</t>
  </si>
  <si>
    <t>NASA space shuttle</t>
  </si>
  <si>
    <t>VA Patient monitoring</t>
  </si>
  <si>
    <t>F115 avionics package</t>
  </si>
  <si>
    <t>LexisNexis Legal analysis</t>
  </si>
  <si>
    <t>Russian weather satellite</t>
  </si>
  <si>
    <t>Data Warehouse</t>
  </si>
  <si>
    <t>Animated film graphics</t>
  </si>
  <si>
    <t>NASA Hubble controls</t>
  </si>
  <si>
    <t>Skype</t>
  </si>
  <si>
    <t>Shipboard gun controls</t>
  </si>
  <si>
    <t>Natural language translation</t>
  </si>
  <si>
    <t>American Express billing</t>
  </si>
  <si>
    <t>M1 Abrams battle tank</t>
  </si>
  <si>
    <t>Boeing 747 avionics package</t>
  </si>
  <si>
    <t>NASA Mars rover</t>
  </si>
  <si>
    <t>Travelocity</t>
  </si>
  <si>
    <t>Apple I Phone</t>
  </si>
  <si>
    <t>Nuclear reactor controls</t>
  </si>
  <si>
    <t>IRS income tax analysis</t>
  </si>
  <si>
    <t>Cruise ship navigation</t>
  </si>
  <si>
    <t>MRI medical imaging</t>
  </si>
  <si>
    <t>Google search engine</t>
  </si>
  <si>
    <t>Amazon web site</t>
  </si>
  <si>
    <t>Order entry system</t>
  </si>
  <si>
    <t>Apple Leopard</t>
  </si>
  <si>
    <t>Linux</t>
  </si>
  <si>
    <t>Oil refinery process control</t>
  </si>
  <si>
    <t>Corporate cost accounting</t>
  </si>
  <si>
    <t>FEDEX shipping controls</t>
  </si>
  <si>
    <t>Tomahawk cruise missile</t>
  </si>
  <si>
    <t>ITT System 12 telecom</t>
  </si>
  <si>
    <t>Ask search engine</t>
  </si>
  <si>
    <t>Denver Airport luggage</t>
  </si>
  <si>
    <t>ADP Payroll application</t>
  </si>
  <si>
    <t>Inventory management</t>
  </si>
  <si>
    <t>EBAY transaction controls</t>
  </si>
  <si>
    <t>Patriot missile controls</t>
  </si>
  <si>
    <t>Second Life web site</t>
  </si>
  <si>
    <t>IBM IMS data base</t>
  </si>
  <si>
    <t>America On Line (AOL)</t>
  </si>
  <si>
    <t>Toyota robotic mfg.</t>
  </si>
  <si>
    <t>State wide child support</t>
  </si>
  <si>
    <t>Vonage VOIP</t>
  </si>
  <si>
    <t>Quicken 2006</t>
  </si>
  <si>
    <t>ITMPI web site</t>
  </si>
  <si>
    <t>Motor vehicle registrations</t>
  </si>
  <si>
    <t>Insurance claims handling</t>
  </si>
  <si>
    <t>SAS statistical package</t>
  </si>
  <si>
    <t>Oracle CRM Features</t>
  </si>
  <si>
    <t>DNA Analysis</t>
  </si>
  <si>
    <t>Enterprise Java Beans</t>
  </si>
  <si>
    <t>Software renovation tool suite</t>
  </si>
  <si>
    <t>Patent data mining</t>
  </si>
  <si>
    <t>EZPass vehicle controls</t>
  </si>
  <si>
    <t>U.S. Patent applications</t>
  </si>
  <si>
    <t>Chinese submarine sonar</t>
  </si>
  <si>
    <t>Microsoft Excel 2007</t>
  </si>
  <si>
    <t>Citizens bank on-line</t>
  </si>
  <si>
    <t>MapQuest</t>
  </si>
  <si>
    <t>Bank ATM controls</t>
  </si>
  <si>
    <t>NVIDIA graphics card</t>
  </si>
  <si>
    <t>Lasik surgery (wave guide)</t>
  </si>
  <si>
    <t>Sun D-Trace utility</t>
  </si>
  <si>
    <t>Microsoft Outlook</t>
  </si>
  <si>
    <t>Microsoft Word 2007</t>
  </si>
  <si>
    <t>Artemis Views</t>
  </si>
  <si>
    <t>ChessMaster 2007 game</t>
  </si>
  <si>
    <t>Adobe Illustrator</t>
  </si>
  <si>
    <t>SpySweeper antispyware</t>
  </si>
  <si>
    <t>Norton anti-virus software</t>
  </si>
  <si>
    <t>Microsoft Project 2007</t>
  </si>
  <si>
    <t>Microsoft Visual Basic</t>
  </si>
  <si>
    <t>Windows Mobile</t>
  </si>
  <si>
    <t>SPR KnowledgePlan</t>
  </si>
  <si>
    <t>All-in-one printer</t>
  </si>
  <si>
    <t>AutoCAD</t>
  </si>
  <si>
    <t>Software code restructuring</t>
  </si>
  <si>
    <t>Intel Math function library</t>
  </si>
  <si>
    <t>Sony PlayStation game controls</t>
  </si>
  <si>
    <t>PBX switching system</t>
  </si>
  <si>
    <t>SPR Checkpoint</t>
  </si>
  <si>
    <t>Microsoft Links golf game</t>
  </si>
  <si>
    <t>GPS navigation system</t>
  </si>
  <si>
    <t>Motorola cell phone</t>
  </si>
  <si>
    <t>Seismic analysis</t>
  </si>
  <si>
    <t>PRICE-S</t>
  </si>
  <si>
    <t>Sidewinder missile controls</t>
  </si>
  <si>
    <t>Apple I Pod</t>
  </si>
  <si>
    <t>Property tax assessments</t>
  </si>
  <si>
    <t>SLIM</t>
  </si>
  <si>
    <t>Microsoft DOS</t>
  </si>
  <si>
    <t>Mozilla Firefox</t>
  </si>
  <si>
    <t>CAI APO (original estimate)</t>
  </si>
  <si>
    <t>Palm OS</t>
  </si>
  <si>
    <t>Google Gmail</t>
  </si>
  <si>
    <t>Digital camera controls</t>
  </si>
  <si>
    <t>IRA account management</t>
  </si>
  <si>
    <t>Consumer credit report</t>
  </si>
  <si>
    <t>Laser printer driver</t>
  </si>
  <si>
    <t>Software complexity analyzer</t>
  </si>
  <si>
    <t>JAVA compiler</t>
  </si>
  <si>
    <t>COCOMO II</t>
  </si>
  <si>
    <t>Smart bomb targeting</t>
  </si>
  <si>
    <t>Wikipedia</t>
  </si>
  <si>
    <t>Music synthesizer</t>
  </si>
  <si>
    <t>Configuration control</t>
  </si>
  <si>
    <t>Toyota Prius engine</t>
  </si>
  <si>
    <t>Cochlear implant (internal)</t>
  </si>
  <si>
    <t>Nintendo Game Boy DS</t>
  </si>
  <si>
    <t>Casio atomic watch</t>
  </si>
  <si>
    <t>Football bowl selection</t>
  </si>
  <si>
    <t>COCOMO I</t>
  </si>
  <si>
    <t>APAR analysis and routing</t>
  </si>
  <si>
    <t>Computer BIOS</t>
  </si>
  <si>
    <t>Automobile fuel injection</t>
  </si>
  <si>
    <t>Anti-lock brake controls</t>
  </si>
  <si>
    <t>Quick Sizer Commercial</t>
  </si>
  <si>
    <t>CAI APO (revised estimate)</t>
  </si>
  <si>
    <t>LogiTech cordless mouse</t>
  </si>
  <si>
    <t>Function point workbench</t>
  </si>
  <si>
    <t>SPR SPQR/20</t>
  </si>
  <si>
    <t>Instant messaging</t>
  </si>
  <si>
    <t>Golf handicap analyzer</t>
  </si>
  <si>
    <t>Denial of service virus</t>
  </si>
  <si>
    <t>Quick Sizer prototype</t>
  </si>
  <si>
    <t>ILOVEYOU computer worm</t>
  </si>
  <si>
    <t>Keystroke logger virus</t>
  </si>
  <si>
    <t>MYDOOM computer virus</t>
  </si>
  <si>
    <t>APAR bug report</t>
  </si>
  <si>
    <t>Screen format change</t>
  </si>
  <si>
    <t>Range of years</t>
  </si>
  <si>
    <t>(Note: Non-disclosure agreements with clients preclude identifying actual sources of data.)</t>
  </si>
  <si>
    <t xml:space="preserve"> and large operating systems.  Such applications are important, expensive, and hazardous to construct.</t>
  </si>
  <si>
    <t>(Note: Applications larger than 100,000 function points include major defense systems, large ERP applications,</t>
  </si>
  <si>
    <t>(Note: Applications between 10,000 and 100,000 function points comprise the main applications that drive</t>
  </si>
  <si>
    <t>business and government operations.  Such applications are important, expensive, and difficult to construct.</t>
  </si>
  <si>
    <t>(Note: Applications between 1,000 and 10,000 function points comprise the majority of stand-alone programs,</t>
  </si>
  <si>
    <t>(Note: Applications between 100 and 1,000 function points are primarily small embedded applications, plus</t>
  </si>
  <si>
    <t>features and updates to larger systems.  A number of single-purpose applications are in this range.)</t>
  </si>
  <si>
    <t xml:space="preserve">(Note: There are few applications between 10 and 100 function points other than viruses and spyware. </t>
  </si>
  <si>
    <t>Note: Applications between 1 and 10 function are usually bug repairs and small updates to larger applications.</t>
  </si>
  <si>
    <t xml:space="preserve">Applications of this small size cannot be measured using standard IFPUG function points, but require </t>
  </si>
  <si>
    <t>Also in this size range are systems and embedded software for complex equipment and weapons systems.</t>
  </si>
  <si>
    <t xml:space="preserve">Few applications in this size range use normal IFPUG function points due to the high cost of normal </t>
  </si>
  <si>
    <t>function point analysis.  The values shown here are predicted values from the Software Risk Master tool.)</t>
  </si>
  <si>
    <t>Many common applications such as Microsoft Word and Excel are in this size range.)</t>
  </si>
  <si>
    <t>components of larger systems, and scores of embedded and systems software applications for complex physical devices.</t>
  </si>
  <si>
    <t>However this size range is the most common for enhancements and new features for larger applications.)</t>
  </si>
  <si>
    <t>"micro-function points" for sizing.)</t>
  </si>
  <si>
    <t>Note 2: The sizes are set to match the assumptions of IFPUG function point metrics, version 4.2 of the counting rules.</t>
  </si>
  <si>
    <t>Predicted Function Point Sizes for 150 Sample Applications</t>
  </si>
  <si>
    <t>Such applications never use standard function point analysis since the costs and schedules would be too great.)</t>
  </si>
  <si>
    <t>Once constructed, they have very long life expectancies because replacement is too costly and time consuming.</t>
  </si>
  <si>
    <t>(Note: Test cases per function point rise with application size, but the sheer volume causes a reduction in coverage with application size)</t>
  </si>
  <si>
    <t>(Note: To achieve 95% code coverage for testing applications &gt; 10,000 function points in size almost never happens since test cases would approach infinity.)</t>
  </si>
  <si>
    <t>(Note: For applications &gt; 10,000 function points defect removal and repair are the major cost and schedule drivers.)</t>
  </si>
  <si>
    <t>Average monthly salary =</t>
  </si>
  <si>
    <t>Burden rate =</t>
  </si>
  <si>
    <t>Fully burdened monthly rate =</t>
  </si>
  <si>
    <t>Work hours per calendar month =</t>
  </si>
  <si>
    <t>Application size in FP =</t>
  </si>
  <si>
    <t>Application type =</t>
  </si>
  <si>
    <t>Systems</t>
  </si>
  <si>
    <t>CMM level =</t>
  </si>
  <si>
    <t>Programming lang. =</t>
  </si>
  <si>
    <t>C</t>
  </si>
  <si>
    <t>LOC per FP =</t>
  </si>
  <si>
    <t>Activities</t>
  </si>
  <si>
    <t>Staff</t>
  </si>
  <si>
    <t>Monthly</t>
  </si>
  <si>
    <t>Work Hours</t>
  </si>
  <si>
    <t>Salary</t>
  </si>
  <si>
    <t>Burdened</t>
  </si>
  <si>
    <t>per</t>
  </si>
  <si>
    <t>Cost per</t>
  </si>
  <si>
    <t>Schedule</t>
  </si>
  <si>
    <t>Effort</t>
  </si>
  <si>
    <t>Assignment</t>
  </si>
  <si>
    <t>Production</t>
  </si>
  <si>
    <t>Months</t>
  </si>
  <si>
    <t>Hours</t>
  </si>
  <si>
    <t>Scope</t>
  </si>
  <si>
    <t>Rate</t>
  </si>
  <si>
    <t>01 Requirements</t>
  </si>
  <si>
    <t>02 Prototyping</t>
  </si>
  <si>
    <t>03 Architecture</t>
  </si>
  <si>
    <t>04 Project Plans</t>
  </si>
  <si>
    <t>05 Initial Design</t>
  </si>
  <si>
    <t>06 Detail Design</t>
  </si>
  <si>
    <t>07 Design Reviews</t>
  </si>
  <si>
    <t>08 Coding</t>
  </si>
  <si>
    <t>09 Reuse acquisition</t>
  </si>
  <si>
    <t>10 Package purchase</t>
  </si>
  <si>
    <t>11 Code inspections</t>
  </si>
  <si>
    <t>12 Ind. Verif. &amp; Valid.</t>
  </si>
  <si>
    <t>13 Configuration mgt.</t>
  </si>
  <si>
    <t>14 Integration</t>
  </si>
  <si>
    <t>15 User documentation</t>
  </si>
  <si>
    <t>16 Unit testing</t>
  </si>
  <si>
    <t>17 Function testing</t>
  </si>
  <si>
    <t>18 Integration testing</t>
  </si>
  <si>
    <t>19 System testing</t>
  </si>
  <si>
    <t>20 Field (Beta) testing</t>
  </si>
  <si>
    <t>21 Acceptance testing</t>
  </si>
  <si>
    <t>22 Independent testing</t>
  </si>
  <si>
    <t>23 Quality assurance</t>
  </si>
  <si>
    <t>24 Installation/training</t>
  </si>
  <si>
    <t>25 Project management</t>
  </si>
  <si>
    <t>Cumulative Results</t>
  </si>
  <si>
    <t>Function Point</t>
  </si>
  <si>
    <t>(Note; Not every project performs all 25 activities, but this general example indicates the kind of data necessary for economic analysis.)</t>
  </si>
  <si>
    <t>Table 15: Estimated Number of Test Cases Prepared per Function Point for U.S. Software Applications</t>
  </si>
  <si>
    <t>Table 16: Estimated Number of Test Cases Prepared by Application Size and Type</t>
  </si>
  <si>
    <t>(Note: Applications &gt; 10,000 function point may use more than 12 kinds of testing.  Applications &lt; 1,000 function points seldom use more than 3 kinds of testing.)</t>
  </si>
  <si>
    <t>Table 17: Percentage of Development Effort Devoted to Defect Removal, Defect Repair, and Rework</t>
  </si>
  <si>
    <t>Table 18: Estimated Number of Calendar Years after Delivery for Software Applications to Stabilize and approach Zero Defects</t>
  </si>
  <si>
    <t>Table 19:  Estimated Number of U.S. Software Projects in Progress Circa 2008</t>
  </si>
  <si>
    <t>Table 20: Estimated Number of U.S. Software Engineers, Specialists, and Managers Circa 2008</t>
  </si>
  <si>
    <t>Table 21:  Estimated Percentage of Projects Cancelled due to Poor Quality or Excessive Overruns</t>
  </si>
  <si>
    <t>Table 22:  Estimated U.S. Software Staff Working on Projects that will be Cancelled due to Poor Quality or Excessive Overruns</t>
  </si>
  <si>
    <t>Table 23:  Estimated Average Cost for Cancelled U.S. Software Projects</t>
  </si>
  <si>
    <t>Table 24: Estimated Average Cost per Function Point for Cancelled U.S. Software Projects</t>
  </si>
  <si>
    <t>Table 25: Percentage of U.S. Software Staff Working on Projects that will be Cancelled due to Poor Quality or Excessive Overruns</t>
  </si>
  <si>
    <t>Table 26: Costs of Cancelled Projects as a percentage of Costs of Completed Projects of the same size and type</t>
  </si>
  <si>
    <t>Table 27:  Estimated Percentage of U.S. Maintenance and Enhancement Projects</t>
  </si>
  <si>
    <t>Table 28: Estimated Number of U.S. Staff Working on Maintenance and Enhancement Projects</t>
  </si>
  <si>
    <t>Table 29: Estimated Distribution of U.S. Software Staff between New and Maintenance and Enhancement Projects</t>
  </si>
  <si>
    <t>Table 30: Probability of Serious Security Vulnerabilities in Software Applications</t>
  </si>
  <si>
    <t>Table 31: Estimated Number of Security Vulnerabilities in Software Applications</t>
  </si>
  <si>
    <t>Table 32: Probability of Data Theft or Security Attack within Five Years of Deployment</t>
  </si>
  <si>
    <t>Table 33:  Estimated Life Expectancy of Applications before Retirement or Replacement</t>
  </si>
  <si>
    <t>Table 34: Estimated Rate of Annual Software Application Growth and Change After Deployment</t>
  </si>
  <si>
    <t>Table 35: Estimated Number of Function Points Added or Changed After Deployment on an Annual Basis</t>
  </si>
  <si>
    <t>Table 36: Estimated Total Growth in Function Points from Deployment until Retirement of Software Applications</t>
  </si>
  <si>
    <t>Table 37:  Estimated percent of Aging Software Applications with Structural Decay, Error-prone Modules, and Geriatic Problems</t>
  </si>
  <si>
    <t>Table 38: Estimated Number of Legacy Applications in service for &gt; 5 years as of 2008</t>
  </si>
  <si>
    <t>Table 39: Estimated Percentage of Legacy Applications that have been fully Renovated</t>
  </si>
  <si>
    <t>Table 40:  Estimated Number of Aging Legacy Applications that have been fully renovated as of 2008</t>
  </si>
  <si>
    <t>Table 41:  Approximate Monthly Percent Increase in Requirements Creep and Churn during development</t>
  </si>
  <si>
    <t>Table 42:  Approximate Total Percent Growth due to Requirements Creep and Churn from initiation to deployment</t>
  </si>
  <si>
    <t>Table 43:  Approximate Growth in Function Points due to Requirements Creep and Churn from initiation to deployment</t>
  </si>
  <si>
    <t>Table 44:  Approximate Size at Deployment of Orignal Requirements plus Requirements Creep and Churn</t>
  </si>
  <si>
    <t>Table 45:  Approximate percentage of U.S. Software Applications using technologies which lead to successful development and deployment</t>
  </si>
  <si>
    <t>Table 46:  Approximate percent of reused components and source code in U.S. Software Applications</t>
  </si>
  <si>
    <t>Table 47:  Approximate volume of reused function points in U.S. software applications</t>
  </si>
  <si>
    <t>Table 49:</t>
  </si>
  <si>
    <t>Table 50: Example of the Structure of a Fully Measured Software Project</t>
  </si>
  <si>
    <t xml:space="preserve">Note 1: The sizes shown in table 49 are predicted sizes using the Software Risk Master sizing algorithms. </t>
  </si>
  <si>
    <t>(Note: Cancelled projects are usually 15% late and over budget at the point of cancellation; often more; seldom less.)</t>
  </si>
  <si>
    <t>(Note: This table is the combined results of tables 33, 34, and 35)</t>
  </si>
  <si>
    <t>email: CJonesiii@cs.com</t>
  </si>
  <si>
    <r>
      <t xml:space="preserve">Copyright </t>
    </r>
    <r>
      <rPr>
        <b/>
        <sz val="10"/>
        <rFont val="Arial"/>
        <family val="0"/>
      </rPr>
      <t>©</t>
    </r>
    <r>
      <rPr>
        <b/>
        <sz val="10"/>
        <rFont val="Arial"/>
        <family val="2"/>
      </rPr>
      <t xml:space="preserve"> 2008 by Capers Jones &amp; Associates LLC.  All rights reserved.</t>
    </r>
  </si>
  <si>
    <t>Email: CJonesiii@cs.com</t>
  </si>
  <si>
    <t>Table 48:  Approximate Numbers of projects examined for tables 1-47 and years covered by the projects</t>
  </si>
  <si>
    <t>For additional information and data by Capers Jones see:</t>
  </si>
  <si>
    <t>Estimating Software Costs, McGraw Hill, 2007</t>
  </si>
  <si>
    <t>Applied Software Measurement, McGraw Hill, 2008</t>
  </si>
  <si>
    <t>Software Assessments, Benchmarks, and Best Practices, Addison Wesley, 2000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</si>
</sst>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000000000"/>
    <numFmt numFmtId="166" formatCode="#,##0.0000000000000"/>
    <numFmt numFmtId="167" formatCode="&quot;$&quot;#,##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[$-409]dddd\,\ mmmm\ dd\,\ yyyy"/>
    <numFmt numFmtId="173" formatCode="[$-409]h:mm:ss\ AM/PM"/>
    <numFmt numFmtId="174" formatCode="&quot;$&quot;#,##0.0"/>
    <numFmt numFmtId="175" formatCode="0.000"/>
    <numFmt numFmtId="176" formatCode="0.0"/>
    <numFmt numFmtId="177" formatCode="#,##0.000"/>
    <numFmt numFmtId="178" formatCode="0.00000000000000"/>
    <numFmt numFmtId="179" formatCode="#,##0.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6" fontId="0" fillId="0" borderId="0" xfId="0" applyNumberFormat="1" applyAlignment="1">
      <alignment/>
    </xf>
    <xf numFmtId="167" fontId="0" fillId="0" borderId="0" xfId="0" applyNumberFormat="1" applyAlignment="1">
      <alignment/>
    </xf>
    <xf numFmtId="9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3" fontId="0" fillId="0" borderId="0" xfId="42" applyNumberFormat="1" applyFont="1" applyAlignment="1">
      <alignment/>
    </xf>
    <xf numFmtId="168" fontId="0" fillId="0" borderId="0" xfId="44" applyNumberFormat="1" applyFont="1" applyAlignment="1">
      <alignment/>
    </xf>
    <xf numFmtId="168" fontId="3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167" fontId="3" fillId="0" borderId="0" xfId="44" applyNumberFormat="1" applyFont="1" applyAlignment="1">
      <alignment/>
    </xf>
    <xf numFmtId="1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0" fontId="3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7"/>
  <sheetViews>
    <sheetView tabSelected="1" zoomScalePageLayoutView="0" workbookViewId="0" topLeftCell="A1">
      <selection activeCell="A1125" sqref="A1125"/>
    </sheetView>
  </sheetViews>
  <sheetFormatPr defaultColWidth="9.140625" defaultRowHeight="12.75"/>
  <cols>
    <col min="1" max="1" width="21.140625" style="0" customWidth="1"/>
    <col min="2" max="9" width="15.140625" style="0" customWidth="1"/>
    <col min="11" max="12" width="16.7109375" style="0" bestFit="1" customWidth="1"/>
  </cols>
  <sheetData>
    <row r="1" ht="12.75">
      <c r="A1" s="1" t="s">
        <v>35</v>
      </c>
    </row>
    <row r="2" ht="12.75">
      <c r="A2" s="2">
        <v>39554</v>
      </c>
    </row>
    <row r="3" ht="12.75">
      <c r="A3" s="2"/>
    </row>
    <row r="4" ht="12.75">
      <c r="A4" s="11" t="s">
        <v>50</v>
      </c>
    </row>
    <row r="5" spans="1:2" ht="12.75">
      <c r="A5" s="11" t="s">
        <v>114</v>
      </c>
      <c r="B5" s="1" t="s">
        <v>388</v>
      </c>
    </row>
    <row r="6" ht="12.75">
      <c r="A6" s="11"/>
    </row>
    <row r="7" ht="12.75">
      <c r="A7" s="11" t="s">
        <v>20</v>
      </c>
    </row>
    <row r="8" ht="12.75">
      <c r="A8" s="11" t="s">
        <v>27</v>
      </c>
    </row>
    <row r="9" ht="12.75">
      <c r="A9" s="11" t="s">
        <v>36</v>
      </c>
    </row>
    <row r="10" ht="12.75">
      <c r="A10" s="11" t="s">
        <v>46</v>
      </c>
    </row>
    <row r="11" ht="12.75">
      <c r="A11" s="11" t="s">
        <v>47</v>
      </c>
    </row>
    <row r="12" ht="12.75">
      <c r="A12" s="11" t="s">
        <v>52</v>
      </c>
    </row>
    <row r="13" ht="12.75">
      <c r="A13" s="11" t="s">
        <v>53</v>
      </c>
    </row>
    <row r="14" ht="12.75">
      <c r="A14" s="11" t="s">
        <v>58</v>
      </c>
    </row>
    <row r="15" ht="12.75">
      <c r="A15" s="11" t="s">
        <v>59</v>
      </c>
    </row>
    <row r="16" ht="12.75">
      <c r="A16" s="11" t="s">
        <v>57</v>
      </c>
    </row>
    <row r="17" ht="12.75">
      <c r="A17" s="11"/>
    </row>
    <row r="19" spans="1:9" ht="12.75">
      <c r="A19" s="1" t="s">
        <v>8</v>
      </c>
      <c r="B19" s="1"/>
      <c r="C19" s="1"/>
      <c r="D19" s="1"/>
      <c r="E19" s="1"/>
      <c r="F19" s="1"/>
      <c r="G19" s="1"/>
      <c r="H19" s="1"/>
      <c r="I19" s="1"/>
    </row>
    <row r="20" spans="1:9" ht="12.75">
      <c r="A20" s="29" t="s">
        <v>38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29"/>
      <c r="B21" s="1"/>
      <c r="C21" s="1"/>
      <c r="D21" s="1"/>
      <c r="E21" s="1"/>
      <c r="F21" s="1"/>
      <c r="G21" s="1"/>
      <c r="H21" s="1"/>
      <c r="I21" s="1"/>
    </row>
    <row r="22" spans="2:9" ht="12.75">
      <c r="B22" s="3"/>
      <c r="C22" s="3"/>
      <c r="D22" s="3" t="s">
        <v>41</v>
      </c>
      <c r="E22" s="3" t="s">
        <v>14</v>
      </c>
      <c r="F22" s="3"/>
      <c r="G22" s="3" t="s">
        <v>9</v>
      </c>
      <c r="H22" s="30"/>
      <c r="I22" s="3"/>
    </row>
    <row r="23" spans="2:9" ht="12.75">
      <c r="B23" s="3" t="s">
        <v>1</v>
      </c>
      <c r="C23" s="3" t="s">
        <v>3</v>
      </c>
      <c r="D23" s="3" t="s">
        <v>4</v>
      </c>
      <c r="E23" s="3" t="s">
        <v>5</v>
      </c>
      <c r="F23" s="3" t="s">
        <v>26</v>
      </c>
      <c r="G23" s="3" t="s">
        <v>10</v>
      </c>
      <c r="H23" s="30" t="s">
        <v>6</v>
      </c>
      <c r="I23" s="3"/>
    </row>
    <row r="24" spans="2:9" ht="12.75">
      <c r="B24" s="3" t="s">
        <v>2</v>
      </c>
      <c r="C24" s="3" t="s">
        <v>2</v>
      </c>
      <c r="D24" s="3" t="s">
        <v>2</v>
      </c>
      <c r="E24" s="3" t="s">
        <v>2</v>
      </c>
      <c r="F24" s="3" t="s">
        <v>2</v>
      </c>
      <c r="G24" s="3" t="s">
        <v>2</v>
      </c>
      <c r="H24" s="3" t="s">
        <v>2</v>
      </c>
      <c r="I24" s="21" t="s">
        <v>7</v>
      </c>
    </row>
    <row r="25" spans="1:9" ht="12.75">
      <c r="A25" s="4" t="s">
        <v>0</v>
      </c>
      <c r="I25" s="22"/>
    </row>
    <row r="26" spans="1:9" ht="12.75">
      <c r="A26" s="6">
        <v>1</v>
      </c>
      <c r="B26" s="5">
        <v>0.01</v>
      </c>
      <c r="C26" s="5">
        <v>0.01</v>
      </c>
      <c r="D26" s="5">
        <v>0.01</v>
      </c>
      <c r="E26" s="5">
        <v>0.01</v>
      </c>
      <c r="F26" s="5">
        <v>0.01</v>
      </c>
      <c r="G26" s="5">
        <v>0.01</v>
      </c>
      <c r="H26" s="5">
        <v>0.01</v>
      </c>
      <c r="I26" s="10">
        <f aca="true" t="shared" si="0" ref="I26:I32">AVERAGE(B26:H26)</f>
        <v>0.01</v>
      </c>
    </row>
    <row r="27" spans="1:11" ht="12.75">
      <c r="A27" s="6">
        <v>10</v>
      </c>
      <c r="B27" s="5">
        <v>0.35</v>
      </c>
      <c r="C27" s="5">
        <v>0.25</v>
      </c>
      <c r="D27" s="5">
        <v>0.33</v>
      </c>
      <c r="E27" s="5">
        <v>0.6</v>
      </c>
      <c r="F27" s="5">
        <v>0.7</v>
      </c>
      <c r="G27" s="5">
        <v>0.9</v>
      </c>
      <c r="H27" s="5">
        <v>1</v>
      </c>
      <c r="I27" s="10">
        <f t="shared" si="0"/>
        <v>0.5899999999999999</v>
      </c>
      <c r="K27" s="5"/>
    </row>
    <row r="28" spans="1:11" ht="12.75">
      <c r="A28" s="6">
        <v>100</v>
      </c>
      <c r="B28" s="5">
        <v>4</v>
      </c>
      <c r="C28" s="5">
        <v>3</v>
      </c>
      <c r="D28" s="5">
        <v>3.5</v>
      </c>
      <c r="E28" s="5">
        <v>4.5</v>
      </c>
      <c r="F28" s="5">
        <v>4</v>
      </c>
      <c r="G28" s="5">
        <v>5.5</v>
      </c>
      <c r="H28" s="5">
        <v>7</v>
      </c>
      <c r="I28" s="10">
        <f t="shared" si="0"/>
        <v>4.5</v>
      </c>
      <c r="K28" s="5"/>
    </row>
    <row r="29" spans="1:11" ht="12.75">
      <c r="A29" s="6">
        <v>1000</v>
      </c>
      <c r="B29" s="5">
        <v>12</v>
      </c>
      <c r="C29" s="5">
        <v>10</v>
      </c>
      <c r="D29" s="5">
        <v>11</v>
      </c>
      <c r="E29" s="5">
        <v>14</v>
      </c>
      <c r="F29" s="5">
        <v>13</v>
      </c>
      <c r="G29" s="5">
        <v>15</v>
      </c>
      <c r="H29" s="5">
        <v>18</v>
      </c>
      <c r="I29" s="10">
        <f t="shared" si="0"/>
        <v>13.285714285714286</v>
      </c>
      <c r="K29" s="5"/>
    </row>
    <row r="30" spans="1:11" ht="12.75">
      <c r="A30" s="6">
        <v>10000</v>
      </c>
      <c r="B30" s="5">
        <v>44</v>
      </c>
      <c r="C30" s="5">
        <v>37</v>
      </c>
      <c r="D30" s="5">
        <v>42</v>
      </c>
      <c r="E30" s="5">
        <v>41</v>
      </c>
      <c r="F30" s="5">
        <v>42</v>
      </c>
      <c r="G30" s="5">
        <v>46</v>
      </c>
      <c r="H30" s="5">
        <v>48</v>
      </c>
      <c r="I30" s="10">
        <f t="shared" si="0"/>
        <v>42.857142857142854</v>
      </c>
      <c r="K30" s="5"/>
    </row>
    <row r="31" spans="1:12" ht="12.75">
      <c r="A31" s="6">
        <v>100000</v>
      </c>
      <c r="B31" s="5">
        <v>62</v>
      </c>
      <c r="C31" s="5">
        <v>56</v>
      </c>
      <c r="D31" s="5">
        <v>58</v>
      </c>
      <c r="E31" s="5">
        <v>57</v>
      </c>
      <c r="F31" s="5">
        <v>58</v>
      </c>
      <c r="G31" s="5">
        <v>63</v>
      </c>
      <c r="H31" s="5">
        <v>66</v>
      </c>
      <c r="I31" s="10">
        <f t="shared" si="0"/>
        <v>60</v>
      </c>
      <c r="K31" s="5"/>
      <c r="L31" s="8"/>
    </row>
    <row r="32" spans="1:12" ht="12.75">
      <c r="A32" s="6">
        <v>1000000</v>
      </c>
      <c r="B32" s="5">
        <v>74</v>
      </c>
      <c r="C32" s="5">
        <v>68</v>
      </c>
      <c r="D32" s="5">
        <v>70</v>
      </c>
      <c r="E32" s="5">
        <v>68</v>
      </c>
      <c r="F32" s="5">
        <v>69</v>
      </c>
      <c r="G32" s="5">
        <v>78</v>
      </c>
      <c r="H32" s="5">
        <v>80</v>
      </c>
      <c r="I32" s="10">
        <f t="shared" si="0"/>
        <v>72.42857142857143</v>
      </c>
      <c r="K32" s="5"/>
      <c r="L32" s="8"/>
    </row>
    <row r="33" spans="1:11" ht="12.75">
      <c r="A33" s="12" t="s">
        <v>7</v>
      </c>
      <c r="B33" s="10">
        <f aca="true" t="shared" si="1" ref="B33:I33">AVERAGE(B26:B32)</f>
        <v>28.051428571428573</v>
      </c>
      <c r="C33" s="10">
        <f t="shared" si="1"/>
        <v>24.89428571428571</v>
      </c>
      <c r="D33" s="10">
        <f t="shared" si="1"/>
        <v>26.405714285714286</v>
      </c>
      <c r="E33" s="10">
        <f t="shared" si="1"/>
        <v>26.444285714285716</v>
      </c>
      <c r="F33" s="10">
        <f t="shared" si="1"/>
        <v>26.672857142857143</v>
      </c>
      <c r="G33" s="10">
        <f>AVERAGE(G26:G32)</f>
        <v>29.77285714285714</v>
      </c>
      <c r="H33" s="10">
        <f t="shared" si="1"/>
        <v>31.43</v>
      </c>
      <c r="I33" s="10">
        <f t="shared" si="1"/>
        <v>27.667346938775513</v>
      </c>
      <c r="K33" s="5"/>
    </row>
    <row r="34" spans="1:11" ht="12.75">
      <c r="A34" s="7"/>
      <c r="B34" s="5"/>
      <c r="C34" s="5"/>
      <c r="D34" s="5"/>
      <c r="E34" s="5"/>
      <c r="F34" s="5"/>
      <c r="G34" s="5"/>
      <c r="H34" s="5"/>
      <c r="I34" s="10"/>
      <c r="K34" s="5"/>
    </row>
    <row r="35" spans="1:11" ht="12.75">
      <c r="A35" s="7"/>
      <c r="B35" s="5"/>
      <c r="C35" s="5"/>
      <c r="D35" s="5"/>
      <c r="E35" s="5"/>
      <c r="F35" s="5"/>
      <c r="G35" s="5"/>
      <c r="H35" s="5"/>
      <c r="I35" s="10"/>
      <c r="K35" s="5"/>
    </row>
    <row r="36" spans="1:9" ht="12.75">
      <c r="A36" s="1" t="s">
        <v>11</v>
      </c>
      <c r="B36" s="5"/>
      <c r="C36" s="5"/>
      <c r="D36" s="5"/>
      <c r="E36" s="5"/>
      <c r="F36" s="5"/>
      <c r="G36" s="5"/>
      <c r="H36" s="5"/>
      <c r="I36" s="10"/>
    </row>
    <row r="37" spans="1:9" ht="12.75">
      <c r="A37" t="s">
        <v>13</v>
      </c>
      <c r="B37" s="5"/>
      <c r="C37" s="5"/>
      <c r="D37" s="5"/>
      <c r="E37" s="5"/>
      <c r="F37" s="5"/>
      <c r="G37" s="5"/>
      <c r="H37" s="5"/>
      <c r="I37" s="10"/>
    </row>
    <row r="38" spans="2:9" ht="12.75">
      <c r="B38" s="5"/>
      <c r="C38" s="5"/>
      <c r="D38" s="5"/>
      <c r="E38" s="5"/>
      <c r="F38" s="5"/>
      <c r="G38" s="5"/>
      <c r="H38" s="5"/>
      <c r="I38" s="10"/>
    </row>
    <row r="39" spans="2:9" ht="12.75">
      <c r="B39" s="3"/>
      <c r="C39" s="3"/>
      <c r="D39" s="3"/>
      <c r="E39" s="3" t="s">
        <v>14</v>
      </c>
      <c r="F39" s="3"/>
      <c r="G39" s="3" t="s">
        <v>9</v>
      </c>
      <c r="H39" s="3"/>
      <c r="I39" s="9"/>
    </row>
    <row r="40" spans="2:9" ht="12.75">
      <c r="B40" s="3" t="s">
        <v>1</v>
      </c>
      <c r="C40" s="3" t="s">
        <v>3</v>
      </c>
      <c r="D40" s="3" t="s">
        <v>4</v>
      </c>
      <c r="E40" s="3" t="s">
        <v>5</v>
      </c>
      <c r="F40" s="3" t="s">
        <v>26</v>
      </c>
      <c r="G40" s="3" t="s">
        <v>10</v>
      </c>
      <c r="H40" s="3" t="s">
        <v>6</v>
      </c>
      <c r="I40" s="9"/>
    </row>
    <row r="41" spans="2:9" ht="12.75">
      <c r="B41" s="3" t="s">
        <v>2</v>
      </c>
      <c r="C41" s="3" t="s">
        <v>2</v>
      </c>
      <c r="D41" s="3" t="s">
        <v>2</v>
      </c>
      <c r="E41" s="3" t="s">
        <v>2</v>
      </c>
      <c r="F41" s="3" t="s">
        <v>2</v>
      </c>
      <c r="G41" s="3" t="s">
        <v>2</v>
      </c>
      <c r="H41" s="3" t="s">
        <v>2</v>
      </c>
      <c r="I41" s="21" t="s">
        <v>7</v>
      </c>
    </row>
    <row r="42" spans="1:9" ht="12.75">
      <c r="A42" s="4" t="s">
        <v>0</v>
      </c>
      <c r="I42" s="22"/>
    </row>
    <row r="43" spans="1:9" ht="12.75">
      <c r="A43" s="6">
        <v>1</v>
      </c>
      <c r="B43" s="5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10">
        <f aca="true" t="shared" si="2" ref="I43:I49">AVERAGE(B43:H43)</f>
        <v>1</v>
      </c>
    </row>
    <row r="44" spans="1:9" ht="12.75">
      <c r="A44" s="6">
        <v>10</v>
      </c>
      <c r="B44" s="5">
        <v>1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10">
        <f t="shared" si="2"/>
        <v>1</v>
      </c>
    </row>
    <row r="45" spans="1:9" ht="12.75">
      <c r="A45" s="6">
        <v>100</v>
      </c>
      <c r="B45" s="5">
        <f>100/75</f>
        <v>1.3333333333333333</v>
      </c>
      <c r="C45" s="5">
        <f>100/65</f>
        <v>1.5384615384615385</v>
      </c>
      <c r="D45" s="5">
        <f>100/75</f>
        <v>1.3333333333333333</v>
      </c>
      <c r="E45" s="5">
        <f>100/70</f>
        <v>1.4285714285714286</v>
      </c>
      <c r="F45" s="5">
        <f>100/71</f>
        <v>1.408450704225352</v>
      </c>
      <c r="G45" s="5">
        <f>100/60</f>
        <v>1.6666666666666667</v>
      </c>
      <c r="H45" s="5">
        <f>100/57</f>
        <v>1.7543859649122806</v>
      </c>
      <c r="I45" s="10">
        <f t="shared" si="2"/>
        <v>1.4947432813577048</v>
      </c>
    </row>
    <row r="46" spans="1:9" ht="12.75">
      <c r="A46" s="6">
        <v>1000</v>
      </c>
      <c r="B46" s="5">
        <f>1000/170</f>
        <v>5.882352941176471</v>
      </c>
      <c r="C46" s="5">
        <f>1000/174</f>
        <v>5.747126436781609</v>
      </c>
      <c r="D46" s="5">
        <f>1000/165</f>
        <v>6.0606060606060606</v>
      </c>
      <c r="E46" s="5">
        <f>1000/164</f>
        <v>6.097560975609756</v>
      </c>
      <c r="F46" s="5">
        <f>1000/158</f>
        <v>6.329113924050633</v>
      </c>
      <c r="G46" s="5">
        <f>1000/155</f>
        <v>6.451612903225806</v>
      </c>
      <c r="H46" s="5">
        <f>1000/142</f>
        <v>7.042253521126761</v>
      </c>
      <c r="I46" s="10">
        <f t="shared" si="2"/>
        <v>6.230089537511014</v>
      </c>
    </row>
    <row r="47" spans="1:9" ht="12.75">
      <c r="A47" s="6">
        <v>10000</v>
      </c>
      <c r="B47" s="5">
        <f>10000/162</f>
        <v>61.72839506172839</v>
      </c>
      <c r="C47" s="5">
        <f>10000/168</f>
        <v>59.523809523809526</v>
      </c>
      <c r="D47" s="5">
        <f>10000/164</f>
        <v>60.97560975609756</v>
      </c>
      <c r="E47" s="5">
        <f>10000/160</f>
        <v>62.5</v>
      </c>
      <c r="F47" s="5">
        <f>10000/156</f>
        <v>64.1025641025641</v>
      </c>
      <c r="G47" s="5">
        <f>10000/155</f>
        <v>64.51612903225806</v>
      </c>
      <c r="H47" s="5">
        <f>10000/150</f>
        <v>66.66666666666667</v>
      </c>
      <c r="I47" s="10">
        <f t="shared" si="2"/>
        <v>62.85902487758919</v>
      </c>
    </row>
    <row r="48" spans="1:9" ht="12.75">
      <c r="A48" s="6">
        <v>100000</v>
      </c>
      <c r="B48" s="5">
        <f>100000/158</f>
        <v>632.9113924050633</v>
      </c>
      <c r="C48" s="5">
        <f>100000/160</f>
        <v>625</v>
      </c>
      <c r="D48" s="5">
        <f>100000/162</f>
        <v>617.283950617284</v>
      </c>
      <c r="E48" s="5">
        <f>100000/156</f>
        <v>641.025641025641</v>
      </c>
      <c r="F48" s="5">
        <f>100000/159</f>
        <v>628.930817610063</v>
      </c>
      <c r="G48" s="5">
        <f>100000/154</f>
        <v>649.3506493506494</v>
      </c>
      <c r="H48" s="5">
        <f>100000/148</f>
        <v>675.6756756756756</v>
      </c>
      <c r="I48" s="10">
        <f t="shared" si="2"/>
        <v>638.5968752406252</v>
      </c>
    </row>
    <row r="49" spans="1:9" ht="12.75">
      <c r="A49" s="6">
        <v>1000000</v>
      </c>
      <c r="B49" s="5">
        <f>1000000/156</f>
        <v>6410.25641025641</v>
      </c>
      <c r="C49" s="5">
        <f>1000000/163</f>
        <v>6134.9693251533745</v>
      </c>
      <c r="D49" s="5">
        <f>1000000/158</f>
        <v>6329.113924050633</v>
      </c>
      <c r="E49" s="5">
        <f>1000000/155</f>
        <v>6451.612903225807</v>
      </c>
      <c r="F49" s="5">
        <f>1000000/153</f>
        <v>6535.9477124183</v>
      </c>
      <c r="G49" s="5">
        <f>1000000/152</f>
        <v>6578.9473684210525</v>
      </c>
      <c r="H49" s="5">
        <f>1000000/148</f>
        <v>6756.756756756757</v>
      </c>
      <c r="I49" s="10">
        <f t="shared" si="2"/>
        <v>6456.800628611762</v>
      </c>
    </row>
    <row r="50" spans="1:9" ht="12.75">
      <c r="A50" s="9" t="s">
        <v>7</v>
      </c>
      <c r="B50" s="10">
        <f aca="true" t="shared" si="3" ref="B50:I50">AVERAGE(B43:B49)</f>
        <v>1016.3016977139588</v>
      </c>
      <c r="C50" s="10">
        <f t="shared" si="3"/>
        <v>975.5398175217753</v>
      </c>
      <c r="D50" s="10">
        <f t="shared" si="3"/>
        <v>1002.3953462597076</v>
      </c>
      <c r="E50" s="10">
        <f t="shared" si="3"/>
        <v>1023.5235252365184</v>
      </c>
      <c r="F50" s="10">
        <f t="shared" si="3"/>
        <v>1034.102665537029</v>
      </c>
      <c r="G50" s="10">
        <f t="shared" si="3"/>
        <v>1043.2760609105503</v>
      </c>
      <c r="H50" s="10">
        <f t="shared" si="3"/>
        <v>1072.8422483693055</v>
      </c>
      <c r="I50" s="10">
        <f t="shared" si="3"/>
        <v>1023.9973373641207</v>
      </c>
    </row>
    <row r="51" ht="12.75">
      <c r="I51" s="22"/>
    </row>
    <row r="52" ht="12.75">
      <c r="I52" s="22"/>
    </row>
    <row r="53" spans="1:9" ht="12.75">
      <c r="A53" s="1" t="s">
        <v>12</v>
      </c>
      <c r="B53" s="1"/>
      <c r="C53" s="1"/>
      <c r="D53" s="1"/>
      <c r="E53" s="1"/>
      <c r="F53" s="1"/>
      <c r="G53" s="1"/>
      <c r="I53" s="22"/>
    </row>
    <row r="54" spans="1:9" ht="12.75">
      <c r="A54" s="29" t="s">
        <v>13</v>
      </c>
      <c r="B54" s="1"/>
      <c r="C54" s="1"/>
      <c r="D54" s="1"/>
      <c r="E54" s="1"/>
      <c r="F54" s="1"/>
      <c r="G54" s="1"/>
      <c r="I54" s="22"/>
    </row>
    <row r="55" spans="1:9" ht="12.75">
      <c r="A55" s="1"/>
      <c r="B55" s="1"/>
      <c r="C55" s="1"/>
      <c r="D55" s="1"/>
      <c r="E55" s="1"/>
      <c r="F55" s="1"/>
      <c r="G55" s="1"/>
      <c r="I55" s="22"/>
    </row>
    <row r="56" spans="1:9" ht="12.75">
      <c r="A56" s="1"/>
      <c r="B56" s="3"/>
      <c r="C56" s="3"/>
      <c r="D56" s="3" t="s">
        <v>41</v>
      </c>
      <c r="E56" s="3" t="s">
        <v>14</v>
      </c>
      <c r="F56" s="3"/>
      <c r="G56" s="3" t="s">
        <v>9</v>
      </c>
      <c r="H56" s="3"/>
      <c r="I56" s="9"/>
    </row>
    <row r="57" spans="1:9" ht="12.75">
      <c r="A57" s="1"/>
      <c r="B57" s="3" t="s">
        <v>1</v>
      </c>
      <c r="C57" s="3" t="s">
        <v>3</v>
      </c>
      <c r="D57" s="3" t="s">
        <v>4</v>
      </c>
      <c r="E57" s="3" t="s">
        <v>5</v>
      </c>
      <c r="F57" s="3" t="s">
        <v>26</v>
      </c>
      <c r="G57" s="3" t="s">
        <v>10</v>
      </c>
      <c r="H57" s="3" t="s">
        <v>6</v>
      </c>
      <c r="I57" s="9"/>
    </row>
    <row r="58" spans="2:9" ht="12.75">
      <c r="B58" s="3" t="s">
        <v>2</v>
      </c>
      <c r="C58" s="3" t="s">
        <v>2</v>
      </c>
      <c r="D58" s="3" t="s">
        <v>2</v>
      </c>
      <c r="E58" s="3" t="s">
        <v>2</v>
      </c>
      <c r="F58" s="3" t="s">
        <v>2</v>
      </c>
      <c r="G58" s="3" t="s">
        <v>2</v>
      </c>
      <c r="H58" s="3" t="s">
        <v>2</v>
      </c>
      <c r="I58" s="21" t="s">
        <v>7</v>
      </c>
    </row>
    <row r="59" spans="1:9" ht="12.75">
      <c r="A59" s="4" t="s">
        <v>0</v>
      </c>
      <c r="I59" s="22"/>
    </row>
    <row r="60" spans="1:9" ht="12.75">
      <c r="A60" s="6">
        <v>1</v>
      </c>
      <c r="B60" s="5">
        <f aca="true" t="shared" si="4" ref="B60:H66">B26*B43</f>
        <v>0.01</v>
      </c>
      <c r="C60" s="5">
        <f t="shared" si="4"/>
        <v>0.01</v>
      </c>
      <c r="D60" s="5">
        <f t="shared" si="4"/>
        <v>0.01</v>
      </c>
      <c r="E60" s="5">
        <f t="shared" si="4"/>
        <v>0.01</v>
      </c>
      <c r="F60" s="5">
        <f t="shared" si="4"/>
        <v>0.01</v>
      </c>
      <c r="G60" s="5">
        <f t="shared" si="4"/>
        <v>0.01</v>
      </c>
      <c r="H60" s="5">
        <f t="shared" si="4"/>
        <v>0.01</v>
      </c>
      <c r="I60" s="10">
        <f aca="true" t="shared" si="5" ref="I60:I66">AVERAGE(B60:H60)</f>
        <v>0.01</v>
      </c>
    </row>
    <row r="61" spans="1:9" ht="12.75">
      <c r="A61" s="6">
        <v>10</v>
      </c>
      <c r="B61" s="5">
        <f t="shared" si="4"/>
        <v>0.35</v>
      </c>
      <c r="C61" s="5">
        <f t="shared" si="4"/>
        <v>0.25</v>
      </c>
      <c r="D61" s="5">
        <f t="shared" si="4"/>
        <v>0.33</v>
      </c>
      <c r="E61" s="5">
        <f t="shared" si="4"/>
        <v>0.6</v>
      </c>
      <c r="F61" s="5">
        <f t="shared" si="4"/>
        <v>0.7</v>
      </c>
      <c r="G61" s="5">
        <f t="shared" si="4"/>
        <v>0.9</v>
      </c>
      <c r="H61" s="5">
        <f t="shared" si="4"/>
        <v>1</v>
      </c>
      <c r="I61" s="10">
        <f t="shared" si="5"/>
        <v>0.5899999999999999</v>
      </c>
    </row>
    <row r="62" spans="1:9" ht="12.75">
      <c r="A62" s="6">
        <v>100</v>
      </c>
      <c r="B62" s="5">
        <f t="shared" si="4"/>
        <v>5.333333333333333</v>
      </c>
      <c r="C62" s="5">
        <f t="shared" si="4"/>
        <v>4.615384615384616</v>
      </c>
      <c r="D62" s="5">
        <f t="shared" si="4"/>
        <v>4.666666666666666</v>
      </c>
      <c r="E62" s="5">
        <f t="shared" si="4"/>
        <v>6.428571428571429</v>
      </c>
      <c r="F62" s="5">
        <f t="shared" si="4"/>
        <v>5.633802816901408</v>
      </c>
      <c r="G62" s="5">
        <f t="shared" si="4"/>
        <v>9.166666666666668</v>
      </c>
      <c r="H62" s="5">
        <f t="shared" si="4"/>
        <v>12.280701754385964</v>
      </c>
      <c r="I62" s="10">
        <f t="shared" si="5"/>
        <v>6.875018183130012</v>
      </c>
    </row>
    <row r="63" spans="1:9" ht="12.75">
      <c r="A63" s="6">
        <v>1000</v>
      </c>
      <c r="B63" s="5">
        <f t="shared" si="4"/>
        <v>70.58823529411765</v>
      </c>
      <c r="C63" s="5">
        <f t="shared" si="4"/>
        <v>57.47126436781609</v>
      </c>
      <c r="D63" s="5">
        <f t="shared" si="4"/>
        <v>66.66666666666667</v>
      </c>
      <c r="E63" s="5">
        <f t="shared" si="4"/>
        <v>85.3658536585366</v>
      </c>
      <c r="F63" s="5">
        <f t="shared" si="4"/>
        <v>82.27848101265823</v>
      </c>
      <c r="G63" s="5">
        <f t="shared" si="4"/>
        <v>96.77419354838709</v>
      </c>
      <c r="H63" s="5">
        <f t="shared" si="4"/>
        <v>126.7605633802817</v>
      </c>
      <c r="I63" s="10">
        <f t="shared" si="5"/>
        <v>83.70075113263772</v>
      </c>
    </row>
    <row r="64" spans="1:9" ht="12.75">
      <c r="A64" s="6">
        <v>10000</v>
      </c>
      <c r="B64" s="5">
        <f t="shared" si="4"/>
        <v>2716.0493827160494</v>
      </c>
      <c r="C64" s="5">
        <f t="shared" si="4"/>
        <v>2202.3809523809523</v>
      </c>
      <c r="D64" s="5">
        <f t="shared" si="4"/>
        <v>2560.9756097560976</v>
      </c>
      <c r="E64" s="5">
        <f t="shared" si="4"/>
        <v>2562.5</v>
      </c>
      <c r="F64" s="5">
        <f t="shared" si="4"/>
        <v>2692.3076923076924</v>
      </c>
      <c r="G64" s="5">
        <f t="shared" si="4"/>
        <v>2967.7419354838707</v>
      </c>
      <c r="H64" s="5">
        <f t="shared" si="4"/>
        <v>3200</v>
      </c>
      <c r="I64" s="10">
        <f t="shared" si="5"/>
        <v>2700.2793675206663</v>
      </c>
    </row>
    <row r="65" spans="1:9" ht="12.75">
      <c r="A65" s="6">
        <v>100000</v>
      </c>
      <c r="B65" s="5">
        <f t="shared" si="4"/>
        <v>39240.50632911393</v>
      </c>
      <c r="C65" s="5">
        <f t="shared" si="4"/>
        <v>35000</v>
      </c>
      <c r="D65" s="5">
        <f t="shared" si="4"/>
        <v>35802.46913580247</v>
      </c>
      <c r="E65" s="5">
        <f t="shared" si="4"/>
        <v>36538.46153846154</v>
      </c>
      <c r="F65" s="5">
        <f t="shared" si="4"/>
        <v>36477.98742138365</v>
      </c>
      <c r="G65" s="5">
        <f t="shared" si="4"/>
        <v>40909.09090909091</v>
      </c>
      <c r="H65" s="5">
        <f t="shared" si="4"/>
        <v>44594.59459459459</v>
      </c>
      <c r="I65" s="10">
        <f t="shared" si="5"/>
        <v>38366.15856120673</v>
      </c>
    </row>
    <row r="66" spans="1:9" ht="12.75">
      <c r="A66" s="6">
        <v>1000000</v>
      </c>
      <c r="B66" s="5">
        <f t="shared" si="4"/>
        <v>474358.9743589744</v>
      </c>
      <c r="C66" s="5">
        <f t="shared" si="4"/>
        <v>417177.91411042947</v>
      </c>
      <c r="D66" s="5">
        <f t="shared" si="4"/>
        <v>443037.9746835443</v>
      </c>
      <c r="E66" s="5">
        <f t="shared" si="4"/>
        <v>438709.67741935485</v>
      </c>
      <c r="F66" s="5">
        <f t="shared" si="4"/>
        <v>450980.3921568627</v>
      </c>
      <c r="G66" s="5">
        <f t="shared" si="4"/>
        <v>513157.8947368421</v>
      </c>
      <c r="H66" s="5">
        <f t="shared" si="4"/>
        <v>540540.5405405406</v>
      </c>
      <c r="I66" s="10">
        <f t="shared" si="5"/>
        <v>468280.4811437927</v>
      </c>
    </row>
    <row r="67" spans="1:9" ht="12.75">
      <c r="A67" s="12" t="s">
        <v>7</v>
      </c>
      <c r="B67" s="10">
        <f aca="true" t="shared" si="6" ref="B67:I67">AVERAGE(B60:B66)</f>
        <v>73770.25880563312</v>
      </c>
      <c r="C67" s="10">
        <f t="shared" si="6"/>
        <v>64920.37738739909</v>
      </c>
      <c r="D67" s="10">
        <f t="shared" si="6"/>
        <v>68781.87039463375</v>
      </c>
      <c r="E67" s="10">
        <f t="shared" si="6"/>
        <v>68271.86334041478</v>
      </c>
      <c r="F67" s="10">
        <f t="shared" si="6"/>
        <v>70034.18707919765</v>
      </c>
      <c r="G67" s="10">
        <f t="shared" si="6"/>
        <v>79591.65406309026</v>
      </c>
      <c r="H67" s="10">
        <f t="shared" si="6"/>
        <v>84067.88377146712</v>
      </c>
      <c r="I67" s="10">
        <f t="shared" si="6"/>
        <v>72776.87069169084</v>
      </c>
    </row>
    <row r="68" spans="1:9" ht="12.75">
      <c r="A68" s="13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3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4" t="s">
        <v>15</v>
      </c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28" t="s">
        <v>39</v>
      </c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28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3"/>
      <c r="B73" s="3"/>
      <c r="C73" s="3"/>
      <c r="D73" s="3" t="s">
        <v>41</v>
      </c>
      <c r="E73" s="3" t="s">
        <v>14</v>
      </c>
      <c r="F73" s="3"/>
      <c r="G73" s="3" t="s">
        <v>9</v>
      </c>
      <c r="H73" s="3"/>
      <c r="I73" s="9"/>
    </row>
    <row r="74" spans="1:9" ht="12.75">
      <c r="A74" s="13"/>
      <c r="B74" s="3" t="s">
        <v>1</v>
      </c>
      <c r="C74" s="3" t="s">
        <v>3</v>
      </c>
      <c r="D74" s="3" t="s">
        <v>4</v>
      </c>
      <c r="E74" s="3" t="s">
        <v>5</v>
      </c>
      <c r="F74" s="3" t="s">
        <v>26</v>
      </c>
      <c r="G74" s="3" t="s">
        <v>10</v>
      </c>
      <c r="H74" s="3" t="s">
        <v>6</v>
      </c>
      <c r="I74" s="9"/>
    </row>
    <row r="75" spans="2:9" ht="12.75">
      <c r="B75" s="3" t="s">
        <v>2</v>
      </c>
      <c r="C75" s="3" t="s">
        <v>2</v>
      </c>
      <c r="D75" s="3" t="s">
        <v>2</v>
      </c>
      <c r="E75" s="3" t="s">
        <v>2</v>
      </c>
      <c r="F75" s="3" t="s">
        <v>2</v>
      </c>
      <c r="G75" s="3" t="s">
        <v>2</v>
      </c>
      <c r="H75" s="3" t="s">
        <v>2</v>
      </c>
      <c r="I75" s="21" t="s">
        <v>7</v>
      </c>
    </row>
    <row r="76" spans="1:9" ht="12.75">
      <c r="A76" s="4" t="s">
        <v>0</v>
      </c>
      <c r="I76" s="22"/>
    </row>
    <row r="77" spans="1:9" ht="12.75">
      <c r="A77" s="6">
        <v>1</v>
      </c>
      <c r="B77" s="5">
        <f aca="true" t="shared" si="7" ref="B77:H77">1/B60</f>
        <v>100</v>
      </c>
      <c r="C77" s="5">
        <f t="shared" si="7"/>
        <v>100</v>
      </c>
      <c r="D77" s="5">
        <f t="shared" si="7"/>
        <v>100</v>
      </c>
      <c r="E77" s="5">
        <f t="shared" si="7"/>
        <v>100</v>
      </c>
      <c r="F77" s="5">
        <f t="shared" si="7"/>
        <v>100</v>
      </c>
      <c r="G77" s="5">
        <f t="shared" si="7"/>
        <v>100</v>
      </c>
      <c r="H77" s="5">
        <f t="shared" si="7"/>
        <v>100</v>
      </c>
      <c r="I77" s="10">
        <f aca="true" t="shared" si="8" ref="I77:I84">AVERAGE(B77:H77)</f>
        <v>100</v>
      </c>
    </row>
    <row r="78" spans="1:9" ht="12.75">
      <c r="A78" s="6">
        <v>10</v>
      </c>
      <c r="B78" s="5">
        <f aca="true" t="shared" si="9" ref="B78:H78">10/B61</f>
        <v>28.571428571428573</v>
      </c>
      <c r="C78" s="5">
        <f t="shared" si="9"/>
        <v>40</v>
      </c>
      <c r="D78" s="5">
        <f t="shared" si="9"/>
        <v>30.3030303030303</v>
      </c>
      <c r="E78" s="5">
        <f t="shared" si="9"/>
        <v>16.666666666666668</v>
      </c>
      <c r="F78" s="5">
        <f t="shared" si="9"/>
        <v>14.285714285714286</v>
      </c>
      <c r="G78" s="5">
        <f t="shared" si="9"/>
        <v>11.11111111111111</v>
      </c>
      <c r="H78" s="5">
        <f t="shared" si="9"/>
        <v>10</v>
      </c>
      <c r="I78" s="10">
        <f t="shared" si="8"/>
        <v>21.56256441970728</v>
      </c>
    </row>
    <row r="79" spans="1:9" ht="12.75">
      <c r="A79" s="6">
        <v>100</v>
      </c>
      <c r="B79" s="5">
        <f aca="true" t="shared" si="10" ref="B79:H79">100/B62</f>
        <v>18.75</v>
      </c>
      <c r="C79" s="5">
        <f t="shared" si="10"/>
        <v>21.666666666666664</v>
      </c>
      <c r="D79" s="5">
        <f t="shared" si="10"/>
        <v>21.42857142857143</v>
      </c>
      <c r="E79" s="5">
        <f t="shared" si="10"/>
        <v>15.555555555555555</v>
      </c>
      <c r="F79" s="5">
        <f t="shared" si="10"/>
        <v>17.75</v>
      </c>
      <c r="G79" s="5">
        <f t="shared" si="10"/>
        <v>10.909090909090908</v>
      </c>
      <c r="H79" s="5">
        <f t="shared" si="10"/>
        <v>8.142857142857144</v>
      </c>
      <c r="I79" s="10">
        <f t="shared" si="8"/>
        <v>16.314677386105956</v>
      </c>
    </row>
    <row r="80" spans="1:9" ht="12.75">
      <c r="A80" s="6">
        <v>1000</v>
      </c>
      <c r="B80" s="5">
        <f aca="true" t="shared" si="11" ref="B80:H80">1000/B63</f>
        <v>14.166666666666666</v>
      </c>
      <c r="C80" s="5">
        <f t="shared" si="11"/>
        <v>17.400000000000002</v>
      </c>
      <c r="D80" s="5">
        <f t="shared" si="11"/>
        <v>14.999999999999998</v>
      </c>
      <c r="E80" s="5">
        <f t="shared" si="11"/>
        <v>11.714285714285714</v>
      </c>
      <c r="F80" s="5">
        <f t="shared" si="11"/>
        <v>12.153846153846153</v>
      </c>
      <c r="G80" s="5">
        <f t="shared" si="11"/>
        <v>10.333333333333334</v>
      </c>
      <c r="H80" s="5">
        <f t="shared" si="11"/>
        <v>7.888888888888888</v>
      </c>
      <c r="I80" s="10">
        <f t="shared" si="8"/>
        <v>12.665288679574394</v>
      </c>
    </row>
    <row r="81" spans="1:9" ht="12.75">
      <c r="A81" s="6">
        <v>10000</v>
      </c>
      <c r="B81" s="5">
        <f aca="true" t="shared" si="12" ref="B81:H81">10000/B64</f>
        <v>3.6818181818181817</v>
      </c>
      <c r="C81" s="5">
        <f t="shared" si="12"/>
        <v>4.54054054054054</v>
      </c>
      <c r="D81" s="5">
        <f t="shared" si="12"/>
        <v>3.9047619047619047</v>
      </c>
      <c r="E81" s="5">
        <f t="shared" si="12"/>
        <v>3.902439024390244</v>
      </c>
      <c r="F81" s="5">
        <f t="shared" si="12"/>
        <v>3.714285714285714</v>
      </c>
      <c r="G81" s="5">
        <f t="shared" si="12"/>
        <v>3.3695652173913047</v>
      </c>
      <c r="H81" s="5">
        <f t="shared" si="12"/>
        <v>3.125</v>
      </c>
      <c r="I81" s="10">
        <f t="shared" si="8"/>
        <v>3.748344369026842</v>
      </c>
    </row>
    <row r="82" spans="1:9" ht="12.75">
      <c r="A82" s="6">
        <v>100000</v>
      </c>
      <c r="B82" s="5">
        <f aca="true" t="shared" si="13" ref="B82:H82">100000/B65</f>
        <v>2.548387096774193</v>
      </c>
      <c r="C82" s="5">
        <f t="shared" si="13"/>
        <v>2.857142857142857</v>
      </c>
      <c r="D82" s="5">
        <f t="shared" si="13"/>
        <v>2.7931034482758617</v>
      </c>
      <c r="E82" s="5">
        <f t="shared" si="13"/>
        <v>2.736842105263158</v>
      </c>
      <c r="F82" s="5">
        <f t="shared" si="13"/>
        <v>2.7413793103448274</v>
      </c>
      <c r="G82" s="5">
        <f t="shared" si="13"/>
        <v>2.444444444444444</v>
      </c>
      <c r="H82" s="5">
        <f t="shared" si="13"/>
        <v>2.2424242424242427</v>
      </c>
      <c r="I82" s="10">
        <f t="shared" si="8"/>
        <v>2.6233890720956548</v>
      </c>
    </row>
    <row r="83" spans="1:9" ht="12.75">
      <c r="A83" s="6">
        <v>1000000</v>
      </c>
      <c r="B83" s="5">
        <f aca="true" t="shared" si="14" ref="B83:G83">A66/B66</f>
        <v>2.108108108108108</v>
      </c>
      <c r="C83" s="5">
        <f t="shared" si="14"/>
        <v>1.1370663650075414</v>
      </c>
      <c r="D83" s="5">
        <f t="shared" si="14"/>
        <v>0.9416301489921122</v>
      </c>
      <c r="E83" s="5">
        <f t="shared" si="14"/>
        <v>1.0098659717051377</v>
      </c>
      <c r="F83" s="5">
        <f t="shared" si="14"/>
        <v>0.9727910238429174</v>
      </c>
      <c r="G83" s="5">
        <f t="shared" si="14"/>
        <v>0.8788335847159376</v>
      </c>
      <c r="H83" s="5">
        <f>F66/H66</f>
        <v>0.8343137254901959</v>
      </c>
      <c r="I83" s="10">
        <f t="shared" si="8"/>
        <v>1.1260869896945642</v>
      </c>
    </row>
    <row r="84" spans="1:9" ht="12.75">
      <c r="A84" s="9" t="s">
        <v>7</v>
      </c>
      <c r="B84" s="10">
        <f aca="true" t="shared" si="15" ref="B84:H84">AVERAGE(B77:B83)</f>
        <v>24.26091551782796</v>
      </c>
      <c r="C84" s="10">
        <f t="shared" si="15"/>
        <v>26.800202347051087</v>
      </c>
      <c r="D84" s="10">
        <f t="shared" si="15"/>
        <v>24.910156747661663</v>
      </c>
      <c r="E84" s="10">
        <f t="shared" si="15"/>
        <v>21.655093576838066</v>
      </c>
      <c r="F84" s="10">
        <f t="shared" si="15"/>
        <v>21.6597166411477</v>
      </c>
      <c r="G84" s="10">
        <f t="shared" si="15"/>
        <v>19.86376837144101</v>
      </c>
      <c r="H84" s="10">
        <f t="shared" si="15"/>
        <v>18.89049771423721</v>
      </c>
      <c r="I84" s="10">
        <f t="shared" si="8"/>
        <v>22.577192988029243</v>
      </c>
    </row>
    <row r="85" ht="12.75">
      <c r="I85" s="22"/>
    </row>
    <row r="86" ht="12.75">
      <c r="I86" s="22"/>
    </row>
    <row r="87" spans="1:9" ht="12.75">
      <c r="A87" s="1" t="s">
        <v>17</v>
      </c>
      <c r="I87" s="22"/>
    </row>
    <row r="88" spans="1:9" ht="12.75">
      <c r="A88" t="s">
        <v>79</v>
      </c>
      <c r="I88" s="22"/>
    </row>
    <row r="89" ht="12.75">
      <c r="I89" s="22"/>
    </row>
    <row r="90" spans="2:9" ht="12.75">
      <c r="B90" s="3"/>
      <c r="C90" s="3"/>
      <c r="D90" s="3"/>
      <c r="E90" s="3" t="s">
        <v>14</v>
      </c>
      <c r="F90" s="3"/>
      <c r="G90" s="3" t="s">
        <v>9</v>
      </c>
      <c r="H90" s="3"/>
      <c r="I90" s="9"/>
    </row>
    <row r="91" spans="2:9" ht="12.75">
      <c r="B91" s="3" t="s">
        <v>1</v>
      </c>
      <c r="C91" s="3" t="s">
        <v>3</v>
      </c>
      <c r="D91" s="3" t="s">
        <v>41</v>
      </c>
      <c r="E91" s="3" t="s">
        <v>5</v>
      </c>
      <c r="F91" s="3" t="s">
        <v>26</v>
      </c>
      <c r="G91" s="3" t="s">
        <v>10</v>
      </c>
      <c r="H91" s="3" t="s">
        <v>6</v>
      </c>
      <c r="I91" s="9"/>
    </row>
    <row r="92" spans="2:9" ht="12.75">
      <c r="B92" s="3" t="s">
        <v>2</v>
      </c>
      <c r="C92" s="3" t="s">
        <v>2</v>
      </c>
      <c r="D92" s="3" t="s">
        <v>2</v>
      </c>
      <c r="E92" s="3" t="s">
        <v>2</v>
      </c>
      <c r="F92" s="3" t="s">
        <v>2</v>
      </c>
      <c r="G92" s="3" t="s">
        <v>2</v>
      </c>
      <c r="H92" s="3" t="s">
        <v>2</v>
      </c>
      <c r="I92" s="21" t="s">
        <v>7</v>
      </c>
    </row>
    <row r="93" ht="12.75">
      <c r="I93" s="22"/>
    </row>
    <row r="94" spans="1:9" ht="12.75">
      <c r="A94" s="3" t="s">
        <v>16</v>
      </c>
      <c r="B94" s="15">
        <v>6500</v>
      </c>
      <c r="C94" s="15">
        <v>9200</v>
      </c>
      <c r="D94" s="15">
        <v>5750</v>
      </c>
      <c r="E94" s="15">
        <v>9000</v>
      </c>
      <c r="F94" s="15">
        <v>6300</v>
      </c>
      <c r="G94" s="15">
        <v>6200</v>
      </c>
      <c r="H94" s="15">
        <v>6100</v>
      </c>
      <c r="I94" s="23">
        <f>AVERAGE(B94:H94)</f>
        <v>7007.142857142857</v>
      </c>
    </row>
    <row r="95" spans="1:9" ht="12.75">
      <c r="A95" s="3" t="s">
        <v>34</v>
      </c>
      <c r="B95" s="17">
        <v>0.5</v>
      </c>
      <c r="C95" s="17">
        <v>0.55</v>
      </c>
      <c r="D95" s="17">
        <v>0.7</v>
      </c>
      <c r="E95" s="17">
        <v>0.5</v>
      </c>
      <c r="F95" s="17">
        <v>0.6</v>
      </c>
      <c r="G95" s="17">
        <v>0.75</v>
      </c>
      <c r="H95" s="17">
        <v>1.25</v>
      </c>
      <c r="I95" s="24">
        <f>AVERAGE(B95:H95)</f>
        <v>0.6928571428571428</v>
      </c>
    </row>
    <row r="96" spans="1:9" ht="12.75">
      <c r="A96" s="3" t="s">
        <v>33</v>
      </c>
      <c r="B96" s="15">
        <f aca="true" t="shared" si="16" ref="B96:H96">B94*(1+B95)</f>
        <v>9750</v>
      </c>
      <c r="C96" s="15">
        <f t="shared" si="16"/>
        <v>14260</v>
      </c>
      <c r="D96" s="15">
        <f t="shared" si="16"/>
        <v>9775</v>
      </c>
      <c r="E96" s="15">
        <f t="shared" si="16"/>
        <v>13500</v>
      </c>
      <c r="F96" s="15">
        <f t="shared" si="16"/>
        <v>10080</v>
      </c>
      <c r="G96" s="15">
        <f t="shared" si="16"/>
        <v>10850</v>
      </c>
      <c r="H96" s="15">
        <f t="shared" si="16"/>
        <v>13725</v>
      </c>
      <c r="I96" s="23">
        <f>AVERAGE(B96:H96)</f>
        <v>11705.714285714286</v>
      </c>
    </row>
    <row r="97" spans="1:9" ht="12.75">
      <c r="A97" s="3"/>
      <c r="I97" s="22"/>
    </row>
    <row r="98" spans="1:9" ht="12.75">
      <c r="A98" s="4" t="s">
        <v>0</v>
      </c>
      <c r="I98" s="22"/>
    </row>
    <row r="99" spans="1:9" ht="12.75">
      <c r="A99" s="6">
        <v>1</v>
      </c>
      <c r="B99" s="16">
        <f aca="true" t="shared" si="17" ref="B99:H99">B60*B96</f>
        <v>97.5</v>
      </c>
      <c r="C99" s="16">
        <f t="shared" si="17"/>
        <v>142.6</v>
      </c>
      <c r="D99" s="16">
        <f t="shared" si="17"/>
        <v>97.75</v>
      </c>
      <c r="E99" s="16">
        <f t="shared" si="17"/>
        <v>135</v>
      </c>
      <c r="F99" s="16">
        <f t="shared" si="17"/>
        <v>100.8</v>
      </c>
      <c r="G99" s="16">
        <f t="shared" si="17"/>
        <v>108.5</v>
      </c>
      <c r="H99" s="16">
        <f t="shared" si="17"/>
        <v>137.25</v>
      </c>
      <c r="I99" s="19">
        <f aca="true" t="shared" si="18" ref="I99:I105">AVERAGE(B99:H99)</f>
        <v>117.05714285714285</v>
      </c>
    </row>
    <row r="100" spans="1:9" ht="12.75">
      <c r="A100" s="6">
        <v>10</v>
      </c>
      <c r="B100" s="16">
        <f aca="true" t="shared" si="19" ref="B100:H100">B61*B96</f>
        <v>3412.5</v>
      </c>
      <c r="C100" s="16">
        <f t="shared" si="19"/>
        <v>3565</v>
      </c>
      <c r="D100" s="16">
        <f t="shared" si="19"/>
        <v>3225.75</v>
      </c>
      <c r="E100" s="16">
        <f t="shared" si="19"/>
        <v>8100</v>
      </c>
      <c r="F100" s="16">
        <f t="shared" si="19"/>
        <v>7056</v>
      </c>
      <c r="G100" s="16">
        <f t="shared" si="19"/>
        <v>9765</v>
      </c>
      <c r="H100" s="16">
        <f t="shared" si="19"/>
        <v>13725</v>
      </c>
      <c r="I100" s="19">
        <f t="shared" si="18"/>
        <v>6978.464285714285</v>
      </c>
    </row>
    <row r="101" spans="1:9" ht="12.75">
      <c r="A101" s="6">
        <v>100</v>
      </c>
      <c r="B101" s="16">
        <f aca="true" t="shared" si="20" ref="B101:H101">B62*B96</f>
        <v>52000</v>
      </c>
      <c r="C101" s="16">
        <f t="shared" si="20"/>
        <v>65815.38461538462</v>
      </c>
      <c r="D101" s="16">
        <f t="shared" si="20"/>
        <v>45616.666666666664</v>
      </c>
      <c r="E101" s="16">
        <f t="shared" si="20"/>
        <v>86785.71428571429</v>
      </c>
      <c r="F101" s="16">
        <f t="shared" si="20"/>
        <v>56788.73239436619</v>
      </c>
      <c r="G101" s="16">
        <f t="shared" si="20"/>
        <v>99458.33333333334</v>
      </c>
      <c r="H101" s="16">
        <f t="shared" si="20"/>
        <v>168552.63157894736</v>
      </c>
      <c r="I101" s="19">
        <f t="shared" si="18"/>
        <v>82145.35183920179</v>
      </c>
    </row>
    <row r="102" spans="1:9" ht="12.75">
      <c r="A102" s="6">
        <v>1000</v>
      </c>
      <c r="B102" s="16">
        <f aca="true" t="shared" si="21" ref="B102:H102">B63*B96</f>
        <v>688235.2941176471</v>
      </c>
      <c r="C102" s="16">
        <f t="shared" si="21"/>
        <v>819540.2298850574</v>
      </c>
      <c r="D102" s="16">
        <f t="shared" si="21"/>
        <v>651666.6666666667</v>
      </c>
      <c r="E102" s="16">
        <f t="shared" si="21"/>
        <v>1152439.024390244</v>
      </c>
      <c r="F102" s="16">
        <f t="shared" si="21"/>
        <v>829367.088607595</v>
      </c>
      <c r="G102" s="16">
        <f t="shared" si="21"/>
        <v>1050000</v>
      </c>
      <c r="H102" s="16">
        <f t="shared" si="21"/>
        <v>1739788.7323943663</v>
      </c>
      <c r="I102" s="19">
        <f t="shared" si="18"/>
        <v>990148.1480087966</v>
      </c>
    </row>
    <row r="103" spans="1:9" ht="12.75">
      <c r="A103" s="6">
        <v>10000</v>
      </c>
      <c r="B103" s="16">
        <f aca="true" t="shared" si="22" ref="B103:H103">B64*B96</f>
        <v>26481481.48148148</v>
      </c>
      <c r="C103" s="16">
        <f t="shared" si="22"/>
        <v>31405952.38095238</v>
      </c>
      <c r="D103" s="16">
        <f t="shared" si="22"/>
        <v>25033536.585365854</v>
      </c>
      <c r="E103" s="16">
        <f t="shared" si="22"/>
        <v>34593750</v>
      </c>
      <c r="F103" s="16">
        <f t="shared" si="22"/>
        <v>27138461.53846154</v>
      </c>
      <c r="G103" s="16">
        <f t="shared" si="22"/>
        <v>32199999.999999996</v>
      </c>
      <c r="H103" s="16">
        <f t="shared" si="22"/>
        <v>43920000</v>
      </c>
      <c r="I103" s="19">
        <f t="shared" si="18"/>
        <v>31539025.99803732</v>
      </c>
    </row>
    <row r="104" spans="1:9" ht="12.75">
      <c r="A104" s="6">
        <v>100000</v>
      </c>
      <c r="B104" s="16">
        <f aca="true" t="shared" si="23" ref="B104:H104">B65*B96</f>
        <v>382594936.7088608</v>
      </c>
      <c r="C104" s="16">
        <f t="shared" si="23"/>
        <v>499100000</v>
      </c>
      <c r="D104" s="16">
        <f t="shared" si="23"/>
        <v>349969135.80246913</v>
      </c>
      <c r="E104" s="16">
        <f t="shared" si="23"/>
        <v>493269230.7692308</v>
      </c>
      <c r="F104" s="16">
        <f t="shared" si="23"/>
        <v>367698113.2075472</v>
      </c>
      <c r="G104" s="16">
        <f t="shared" si="23"/>
        <v>443863636.3636364</v>
      </c>
      <c r="H104" s="16">
        <f t="shared" si="23"/>
        <v>612060810.8108108</v>
      </c>
      <c r="I104" s="19">
        <f t="shared" si="18"/>
        <v>449793694.80893654</v>
      </c>
    </row>
    <row r="105" spans="1:9" ht="12.75">
      <c r="A105" s="6">
        <v>1000000</v>
      </c>
      <c r="B105" s="16">
        <f aca="true" t="shared" si="24" ref="B105:H105">B66*B96</f>
        <v>4625000000</v>
      </c>
      <c r="C105" s="16">
        <f t="shared" si="24"/>
        <v>5948957055.214725</v>
      </c>
      <c r="D105" s="16">
        <f t="shared" si="24"/>
        <v>4330696202.531646</v>
      </c>
      <c r="E105" s="16">
        <f t="shared" si="24"/>
        <v>5922580645.16129</v>
      </c>
      <c r="F105" s="16">
        <f t="shared" si="24"/>
        <v>4545882352.941176</v>
      </c>
      <c r="G105" s="16">
        <f t="shared" si="24"/>
        <v>5567763157.894736</v>
      </c>
      <c r="H105" s="16">
        <f t="shared" si="24"/>
        <v>7418918918.91892</v>
      </c>
      <c r="I105" s="19">
        <f t="shared" si="18"/>
        <v>5479971190.380357</v>
      </c>
    </row>
    <row r="106" spans="1:9" ht="12.75">
      <c r="A106" s="9" t="s">
        <v>7</v>
      </c>
      <c r="B106" s="19">
        <f aca="true" t="shared" si="25" ref="B106:I106">AVERAGE(B99:B105)</f>
        <v>719260023.3549229</v>
      </c>
      <c r="C106" s="19">
        <f t="shared" si="25"/>
        <v>925764581.5443112</v>
      </c>
      <c r="D106" s="19">
        <f t="shared" si="25"/>
        <v>672342783.1075449</v>
      </c>
      <c r="E106" s="19">
        <f t="shared" si="25"/>
        <v>921670155.0955995</v>
      </c>
      <c r="F106" s="19">
        <f t="shared" si="25"/>
        <v>705944605.7583125</v>
      </c>
      <c r="G106" s="19">
        <f t="shared" si="25"/>
        <v>863569446.5845295</v>
      </c>
      <c r="H106" s="19">
        <f t="shared" si="25"/>
        <v>1153831704.7633862</v>
      </c>
      <c r="I106" s="19">
        <f t="shared" si="25"/>
        <v>851769042.8869438</v>
      </c>
    </row>
    <row r="107" ht="12.75">
      <c r="I107" s="22"/>
    </row>
    <row r="108" ht="12.75">
      <c r="I108" s="22"/>
    </row>
    <row r="109" spans="1:9" ht="12.75">
      <c r="A109" s="1" t="s">
        <v>19</v>
      </c>
      <c r="I109" s="22"/>
    </row>
    <row r="110" spans="1:9" ht="12.75">
      <c r="A110" t="s">
        <v>79</v>
      </c>
      <c r="I110" s="22"/>
    </row>
    <row r="111" ht="12.75">
      <c r="I111" s="22"/>
    </row>
    <row r="112" spans="2:9" ht="12.75">
      <c r="B112" s="3"/>
      <c r="C112" s="3"/>
      <c r="D112" s="3" t="s">
        <v>41</v>
      </c>
      <c r="E112" s="3" t="s">
        <v>14</v>
      </c>
      <c r="F112" s="3"/>
      <c r="G112" s="3" t="s">
        <v>9</v>
      </c>
      <c r="H112" s="3"/>
      <c r="I112" s="9"/>
    </row>
    <row r="113" spans="2:9" ht="12.75">
      <c r="B113" s="3" t="s">
        <v>1</v>
      </c>
      <c r="C113" s="3" t="s">
        <v>3</v>
      </c>
      <c r="D113" s="3" t="s">
        <v>4</v>
      </c>
      <c r="E113" s="3" t="s">
        <v>5</v>
      </c>
      <c r="F113" s="3" t="s">
        <v>26</v>
      </c>
      <c r="G113" s="3" t="s">
        <v>10</v>
      </c>
      <c r="H113" s="3" t="s">
        <v>6</v>
      </c>
      <c r="I113" s="9"/>
    </row>
    <row r="114" spans="2:9" ht="12.75">
      <c r="B114" s="3" t="s">
        <v>2</v>
      </c>
      <c r="C114" s="3" t="s">
        <v>2</v>
      </c>
      <c r="D114" s="3" t="s">
        <v>2</v>
      </c>
      <c r="E114" s="3" t="s">
        <v>2</v>
      </c>
      <c r="F114" s="3" t="s">
        <v>2</v>
      </c>
      <c r="G114" s="3" t="s">
        <v>2</v>
      </c>
      <c r="H114" s="3" t="s">
        <v>2</v>
      </c>
      <c r="I114" s="21" t="s">
        <v>7</v>
      </c>
    </row>
    <row r="115" ht="12.75">
      <c r="I115" s="22"/>
    </row>
    <row r="116" spans="1:9" ht="12.75">
      <c r="A116" s="3" t="s">
        <v>16</v>
      </c>
      <c r="B116" s="15">
        <v>6500</v>
      </c>
      <c r="C116" s="15">
        <v>9200</v>
      </c>
      <c r="D116" s="15">
        <v>5750</v>
      </c>
      <c r="E116" s="15">
        <v>9000</v>
      </c>
      <c r="F116" s="15">
        <v>6300</v>
      </c>
      <c r="G116" s="15">
        <v>6200</v>
      </c>
      <c r="H116" s="15">
        <v>6100</v>
      </c>
      <c r="I116" s="23">
        <f>AVERAGE(B116:H116)</f>
        <v>7007.142857142857</v>
      </c>
    </row>
    <row r="117" spans="1:9" ht="12.75">
      <c r="A117" s="3" t="s">
        <v>18</v>
      </c>
      <c r="B117" s="17">
        <v>0.5</v>
      </c>
      <c r="C117" s="17">
        <v>0.55</v>
      </c>
      <c r="D117" s="17">
        <v>0.7</v>
      </c>
      <c r="E117" s="17">
        <v>0.5</v>
      </c>
      <c r="F117" s="17">
        <v>0.6</v>
      </c>
      <c r="G117" s="17">
        <v>0.75</v>
      </c>
      <c r="H117" s="17">
        <v>1.25</v>
      </c>
      <c r="I117" s="24">
        <f>AVERAGE(B117:H117)</f>
        <v>0.6928571428571428</v>
      </c>
    </row>
    <row r="118" spans="1:9" ht="12.75">
      <c r="A118" s="30" t="s">
        <v>33</v>
      </c>
      <c r="B118" s="15">
        <f aca="true" t="shared" si="26" ref="B118:H118">B116*(1+B117)</f>
        <v>9750</v>
      </c>
      <c r="C118" s="15">
        <f t="shared" si="26"/>
        <v>14260</v>
      </c>
      <c r="D118" s="15">
        <f t="shared" si="26"/>
        <v>9775</v>
      </c>
      <c r="E118" s="15">
        <f t="shared" si="26"/>
        <v>13500</v>
      </c>
      <c r="F118" s="15">
        <f t="shared" si="26"/>
        <v>10080</v>
      </c>
      <c r="G118" s="15">
        <f t="shared" si="26"/>
        <v>10850</v>
      </c>
      <c r="H118" s="15">
        <f t="shared" si="26"/>
        <v>13725</v>
      </c>
      <c r="I118" s="23">
        <f>AVERAGE(B118:H118)</f>
        <v>11705.714285714286</v>
      </c>
    </row>
    <row r="119" spans="1:9" ht="12.75">
      <c r="A119" s="3"/>
      <c r="B119" s="15"/>
      <c r="C119" s="15"/>
      <c r="D119" s="15"/>
      <c r="E119" s="15"/>
      <c r="F119" s="15"/>
      <c r="G119" s="15"/>
      <c r="H119" s="15"/>
      <c r="I119" s="23"/>
    </row>
    <row r="120" spans="1:17" ht="12.75">
      <c r="A120" s="4" t="s">
        <v>0</v>
      </c>
      <c r="I120" s="22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6">
        <v>1</v>
      </c>
      <c r="B121" s="18">
        <f aca="true" t="shared" si="27" ref="B121:H121">B99/1</f>
        <v>97.5</v>
      </c>
      <c r="C121" s="18">
        <f t="shared" si="27"/>
        <v>142.6</v>
      </c>
      <c r="D121" s="18">
        <f t="shared" si="27"/>
        <v>97.75</v>
      </c>
      <c r="E121" s="18">
        <f t="shared" si="27"/>
        <v>135</v>
      </c>
      <c r="F121" s="18">
        <f t="shared" si="27"/>
        <v>100.8</v>
      </c>
      <c r="G121" s="18">
        <f t="shared" si="27"/>
        <v>108.5</v>
      </c>
      <c r="H121" s="18">
        <f t="shared" si="27"/>
        <v>137.25</v>
      </c>
      <c r="I121" s="20">
        <f aca="true" t="shared" si="28" ref="I121:I128">AVERAGE(B121:H121)</f>
        <v>117.05714285714285</v>
      </c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6">
        <v>10</v>
      </c>
      <c r="B122" s="18">
        <f aca="true" t="shared" si="29" ref="B122:H122">B100/10</f>
        <v>341.25</v>
      </c>
      <c r="C122" s="18">
        <f t="shared" si="29"/>
        <v>356.5</v>
      </c>
      <c r="D122" s="18">
        <f t="shared" si="29"/>
        <v>322.575</v>
      </c>
      <c r="E122" s="18">
        <f t="shared" si="29"/>
        <v>810</v>
      </c>
      <c r="F122" s="18">
        <f t="shared" si="29"/>
        <v>705.6</v>
      </c>
      <c r="G122" s="18">
        <f t="shared" si="29"/>
        <v>976.5</v>
      </c>
      <c r="H122" s="18">
        <f t="shared" si="29"/>
        <v>1372.5</v>
      </c>
      <c r="I122" s="20">
        <f t="shared" si="28"/>
        <v>697.8464285714286</v>
      </c>
      <c r="J122" s="3"/>
      <c r="K122" s="3"/>
      <c r="L122" s="3"/>
      <c r="M122" s="3"/>
      <c r="N122" s="3"/>
      <c r="O122" s="3"/>
      <c r="P122" s="3"/>
      <c r="Q122" s="4"/>
    </row>
    <row r="123" spans="1:9" ht="12.75">
      <c r="A123" s="6">
        <v>100</v>
      </c>
      <c r="B123" s="18">
        <f aca="true" t="shared" si="30" ref="B123:H123">B101/100</f>
        <v>520</v>
      </c>
      <c r="C123" s="18">
        <f t="shared" si="30"/>
        <v>658.1538461538462</v>
      </c>
      <c r="D123" s="18">
        <f t="shared" si="30"/>
        <v>456.16666666666663</v>
      </c>
      <c r="E123" s="18">
        <f t="shared" si="30"/>
        <v>867.8571428571429</v>
      </c>
      <c r="F123" s="18">
        <f t="shared" si="30"/>
        <v>567.887323943662</v>
      </c>
      <c r="G123" s="18">
        <f t="shared" si="30"/>
        <v>994.5833333333335</v>
      </c>
      <c r="H123" s="18">
        <f t="shared" si="30"/>
        <v>1685.5263157894735</v>
      </c>
      <c r="I123" s="20">
        <f t="shared" si="28"/>
        <v>821.4535183920178</v>
      </c>
    </row>
    <row r="124" spans="1:17" ht="12.75">
      <c r="A124" s="6">
        <v>1000</v>
      </c>
      <c r="B124" s="18">
        <f aca="true" t="shared" si="31" ref="B124:H124">B102/1000</f>
        <v>688.2352941176471</v>
      </c>
      <c r="C124" s="18">
        <f t="shared" si="31"/>
        <v>819.5402298850574</v>
      </c>
      <c r="D124" s="18">
        <f t="shared" si="31"/>
        <v>651.6666666666667</v>
      </c>
      <c r="E124" s="18">
        <f t="shared" si="31"/>
        <v>1152.439024390244</v>
      </c>
      <c r="F124" s="18">
        <f t="shared" si="31"/>
        <v>829.367088607595</v>
      </c>
      <c r="G124" s="18">
        <f t="shared" si="31"/>
        <v>1050</v>
      </c>
      <c r="H124" s="18">
        <f t="shared" si="31"/>
        <v>1739.7887323943662</v>
      </c>
      <c r="I124" s="20">
        <f t="shared" si="28"/>
        <v>990.1481480087966</v>
      </c>
      <c r="J124" s="15"/>
      <c r="K124" s="15"/>
      <c r="L124" s="15"/>
      <c r="M124" s="15"/>
      <c r="N124" s="15"/>
      <c r="O124" s="15"/>
      <c r="P124" s="15"/>
      <c r="Q124" s="15"/>
    </row>
    <row r="125" spans="1:17" ht="12.75">
      <c r="A125" s="6">
        <v>10000</v>
      </c>
      <c r="B125" s="18">
        <f aca="true" t="shared" si="32" ref="B125:H125">B103/10000</f>
        <v>2648.1481481481483</v>
      </c>
      <c r="C125" s="18">
        <f t="shared" si="32"/>
        <v>3140.595238095238</v>
      </c>
      <c r="D125" s="18">
        <f t="shared" si="32"/>
        <v>2503.3536585365855</v>
      </c>
      <c r="E125" s="18">
        <f t="shared" si="32"/>
        <v>3459.375</v>
      </c>
      <c r="F125" s="18">
        <f t="shared" si="32"/>
        <v>2713.846153846154</v>
      </c>
      <c r="G125" s="18">
        <f t="shared" si="32"/>
        <v>3219.9999999999995</v>
      </c>
      <c r="H125" s="18">
        <f t="shared" si="32"/>
        <v>4392</v>
      </c>
      <c r="I125" s="20">
        <f t="shared" si="28"/>
        <v>3153.9025998037323</v>
      </c>
      <c r="J125" s="17"/>
      <c r="K125" s="17"/>
      <c r="L125" s="17"/>
      <c r="M125" s="17"/>
      <c r="N125" s="17"/>
      <c r="O125" s="17"/>
      <c r="P125" s="17"/>
      <c r="Q125" s="17"/>
    </row>
    <row r="126" spans="1:17" ht="12.75">
      <c r="A126" s="6">
        <v>100000</v>
      </c>
      <c r="B126" s="18">
        <f aca="true" t="shared" si="33" ref="B126:H126">B104/100000</f>
        <v>3825.949367088608</v>
      </c>
      <c r="C126" s="18">
        <f t="shared" si="33"/>
        <v>4991</v>
      </c>
      <c r="D126" s="18">
        <f t="shared" si="33"/>
        <v>3499.6913580246915</v>
      </c>
      <c r="E126" s="18">
        <f t="shared" si="33"/>
        <v>4932.692307692308</v>
      </c>
      <c r="F126" s="18">
        <f t="shared" si="33"/>
        <v>3676.981132075472</v>
      </c>
      <c r="G126" s="18">
        <f t="shared" si="33"/>
        <v>4438.636363636364</v>
      </c>
      <c r="H126" s="18">
        <f t="shared" si="33"/>
        <v>6120.608108108108</v>
      </c>
      <c r="I126" s="20">
        <f t="shared" si="28"/>
        <v>4497.936948089365</v>
      </c>
      <c r="J126" s="15"/>
      <c r="K126" s="15"/>
      <c r="L126" s="15"/>
      <c r="M126" s="15"/>
      <c r="N126" s="15"/>
      <c r="O126" s="15"/>
      <c r="P126" s="15"/>
      <c r="Q126" s="15"/>
    </row>
    <row r="127" spans="1:9" ht="12.75">
      <c r="A127" s="6">
        <v>1000000</v>
      </c>
      <c r="B127" s="18">
        <f aca="true" t="shared" si="34" ref="B127:H127">B105/1000000</f>
        <v>4625</v>
      </c>
      <c r="C127" s="18">
        <f t="shared" si="34"/>
        <v>5948.957055214724</v>
      </c>
      <c r="D127" s="18">
        <f t="shared" si="34"/>
        <v>4330.696202531646</v>
      </c>
      <c r="E127" s="18">
        <f t="shared" si="34"/>
        <v>5922.58064516129</v>
      </c>
      <c r="F127" s="18">
        <f t="shared" si="34"/>
        <v>4545.882352941177</v>
      </c>
      <c r="G127" s="18">
        <f t="shared" si="34"/>
        <v>5567.763157894737</v>
      </c>
      <c r="H127" s="18">
        <f t="shared" si="34"/>
        <v>7418.918918918919</v>
      </c>
      <c r="I127" s="20">
        <f t="shared" si="28"/>
        <v>5479.971190380355</v>
      </c>
    </row>
    <row r="128" spans="1:9" ht="12.75">
      <c r="A128" s="9" t="s">
        <v>7</v>
      </c>
      <c r="B128" s="20">
        <f aca="true" t="shared" si="35" ref="B128:H128">AVERAGE(B121:B127)</f>
        <v>1820.8689727649148</v>
      </c>
      <c r="C128" s="20">
        <f t="shared" si="35"/>
        <v>2293.9066241926953</v>
      </c>
      <c r="D128" s="20">
        <f t="shared" si="35"/>
        <v>1694.5570789180367</v>
      </c>
      <c r="E128" s="20">
        <f t="shared" si="35"/>
        <v>2468.563445728712</v>
      </c>
      <c r="F128" s="20">
        <f t="shared" si="35"/>
        <v>1877.1948644877227</v>
      </c>
      <c r="G128" s="20">
        <f t="shared" si="35"/>
        <v>2336.5689792663475</v>
      </c>
      <c r="H128" s="20">
        <f t="shared" si="35"/>
        <v>3266.6560107444093</v>
      </c>
      <c r="I128" s="20">
        <f t="shared" si="28"/>
        <v>2251.18799658612</v>
      </c>
    </row>
    <row r="131" ht="12.75">
      <c r="A131" s="1" t="s">
        <v>21</v>
      </c>
    </row>
    <row r="132" ht="12.75">
      <c r="A132" s="1" t="s">
        <v>30</v>
      </c>
    </row>
    <row r="134" spans="2:9" ht="12.75">
      <c r="B134" s="3"/>
      <c r="C134" s="3"/>
      <c r="D134" s="3" t="s">
        <v>41</v>
      </c>
      <c r="E134" s="3" t="s">
        <v>14</v>
      </c>
      <c r="F134" s="3"/>
      <c r="G134" s="3" t="s">
        <v>9</v>
      </c>
      <c r="H134" s="3"/>
      <c r="I134" s="9"/>
    </row>
    <row r="135" spans="2:9" ht="12.75">
      <c r="B135" s="3" t="s">
        <v>1</v>
      </c>
      <c r="C135" s="3" t="s">
        <v>3</v>
      </c>
      <c r="D135" s="3" t="s">
        <v>4</v>
      </c>
      <c r="E135" s="3" t="s">
        <v>5</v>
      </c>
      <c r="F135" s="3" t="s">
        <v>26</v>
      </c>
      <c r="G135" s="3" t="s">
        <v>10</v>
      </c>
      <c r="H135" s="3" t="s">
        <v>6</v>
      </c>
      <c r="I135" s="9"/>
    </row>
    <row r="136" spans="2:9" ht="12.75">
      <c r="B136" s="3" t="s">
        <v>2</v>
      </c>
      <c r="C136" s="3" t="s">
        <v>2</v>
      </c>
      <c r="D136" s="3" t="s">
        <v>2</v>
      </c>
      <c r="E136" s="3" t="s">
        <v>2</v>
      </c>
      <c r="F136" s="3" t="s">
        <v>2</v>
      </c>
      <c r="G136" s="3" t="s">
        <v>2</v>
      </c>
      <c r="H136" s="3" t="s">
        <v>2</v>
      </c>
      <c r="I136" s="21" t="s">
        <v>7</v>
      </c>
    </row>
    <row r="137" ht="12.75">
      <c r="A137" s="4" t="s">
        <v>0</v>
      </c>
    </row>
    <row r="138" spans="1:9" ht="12.75">
      <c r="A138" s="6">
        <v>1</v>
      </c>
      <c r="B138" s="5">
        <v>1.5</v>
      </c>
      <c r="C138" s="5">
        <v>1.5</v>
      </c>
      <c r="D138" s="5">
        <v>1.5</v>
      </c>
      <c r="E138" s="5">
        <v>1.5</v>
      </c>
      <c r="F138" s="5">
        <v>1.5</v>
      </c>
      <c r="G138" s="5">
        <v>1.5</v>
      </c>
      <c r="H138" s="5">
        <v>1.5</v>
      </c>
      <c r="I138" s="10">
        <f aca="true" t="shared" si="36" ref="I138:I145">AVERAGE(B138:H138)</f>
        <v>1.5</v>
      </c>
    </row>
    <row r="139" spans="1:9" ht="12.75">
      <c r="A139" s="6">
        <v>10</v>
      </c>
      <c r="B139" s="5">
        <v>2.25</v>
      </c>
      <c r="C139" s="5">
        <v>2</v>
      </c>
      <c r="D139" s="5">
        <v>2</v>
      </c>
      <c r="E139" s="5">
        <v>2.5</v>
      </c>
      <c r="F139" s="5">
        <v>2</v>
      </c>
      <c r="G139" s="5">
        <v>2.7</v>
      </c>
      <c r="H139" s="5">
        <v>2.9</v>
      </c>
      <c r="I139" s="10">
        <f t="shared" si="36"/>
        <v>2.3357142857142854</v>
      </c>
    </row>
    <row r="140" spans="1:9" ht="12.75">
      <c r="A140" s="6">
        <v>100</v>
      </c>
      <c r="B140" s="5">
        <v>2.8</v>
      </c>
      <c r="C140" s="5">
        <v>2.5</v>
      </c>
      <c r="D140" s="5">
        <v>2.5</v>
      </c>
      <c r="E140" s="5">
        <v>3</v>
      </c>
      <c r="F140" s="5">
        <v>3.15</v>
      </c>
      <c r="G140" s="5">
        <v>3.3</v>
      </c>
      <c r="H140" s="5">
        <v>4</v>
      </c>
      <c r="I140" s="10">
        <f t="shared" si="36"/>
        <v>3.0357142857142856</v>
      </c>
    </row>
    <row r="141" spans="1:9" ht="12.75">
      <c r="A141" s="6">
        <v>1000</v>
      </c>
      <c r="B141" s="5">
        <v>4.3</v>
      </c>
      <c r="C141" s="5">
        <v>4.25</v>
      </c>
      <c r="D141" s="5">
        <v>4</v>
      </c>
      <c r="E141" s="5">
        <v>4.3</v>
      </c>
      <c r="F141" s="5">
        <v>4.75</v>
      </c>
      <c r="G141" s="5">
        <v>5.25</v>
      </c>
      <c r="H141" s="5">
        <v>5.5</v>
      </c>
      <c r="I141" s="10">
        <f t="shared" si="36"/>
        <v>4.621428571428572</v>
      </c>
    </row>
    <row r="142" spans="1:9" ht="12.75">
      <c r="A142" s="6">
        <v>10000</v>
      </c>
      <c r="B142" s="5">
        <v>5.5</v>
      </c>
      <c r="C142" s="5">
        <v>5.75</v>
      </c>
      <c r="D142" s="5">
        <v>5.25</v>
      </c>
      <c r="E142" s="5">
        <v>6.25</v>
      </c>
      <c r="F142" s="5">
        <v>6.6</v>
      </c>
      <c r="G142" s="5">
        <v>6.8</v>
      </c>
      <c r="H142" s="5">
        <v>7</v>
      </c>
      <c r="I142" s="10">
        <f t="shared" si="36"/>
        <v>6.164285714285714</v>
      </c>
    </row>
    <row r="143" spans="1:9" ht="12.75">
      <c r="A143" s="6">
        <v>100000</v>
      </c>
      <c r="B143" s="5">
        <v>7.5</v>
      </c>
      <c r="C143" s="5">
        <v>8</v>
      </c>
      <c r="D143" s="5">
        <v>7</v>
      </c>
      <c r="E143" s="5">
        <v>7.75</v>
      </c>
      <c r="F143" s="5">
        <v>7.9</v>
      </c>
      <c r="G143" s="5">
        <v>8</v>
      </c>
      <c r="H143" s="5">
        <v>8.25</v>
      </c>
      <c r="I143" s="10">
        <f t="shared" si="36"/>
        <v>7.771428571428571</v>
      </c>
    </row>
    <row r="144" spans="1:9" ht="12.75">
      <c r="A144" s="6">
        <v>1000000</v>
      </c>
      <c r="B144" s="5">
        <v>8.5</v>
      </c>
      <c r="C144" s="5">
        <v>8.5</v>
      </c>
      <c r="D144" s="5">
        <v>8</v>
      </c>
      <c r="E144" s="5">
        <v>8.25</v>
      </c>
      <c r="F144" s="5">
        <v>8.75</v>
      </c>
      <c r="G144" s="5">
        <v>8.9</v>
      </c>
      <c r="H144" s="5">
        <v>9</v>
      </c>
      <c r="I144" s="10">
        <f t="shared" si="36"/>
        <v>8.557142857142857</v>
      </c>
    </row>
    <row r="145" spans="1:9" ht="12.75">
      <c r="A145" s="3" t="s">
        <v>7</v>
      </c>
      <c r="B145" s="10">
        <f aca="true" t="shared" si="37" ref="B145:H145">AVERAGE(B138:B144)</f>
        <v>4.621428571428572</v>
      </c>
      <c r="C145" s="10">
        <f t="shared" si="37"/>
        <v>4.642857142857143</v>
      </c>
      <c r="D145" s="10">
        <f t="shared" si="37"/>
        <v>4.321428571428571</v>
      </c>
      <c r="E145" s="10">
        <f t="shared" si="37"/>
        <v>4.792857142857143</v>
      </c>
      <c r="F145" s="10">
        <f t="shared" si="37"/>
        <v>4.95</v>
      </c>
      <c r="G145" s="10">
        <f t="shared" si="37"/>
        <v>5.207142857142857</v>
      </c>
      <c r="H145" s="10">
        <f t="shared" si="37"/>
        <v>5.45</v>
      </c>
      <c r="I145" s="10">
        <f t="shared" si="36"/>
        <v>4.855102040816327</v>
      </c>
    </row>
    <row r="148" ht="12.75">
      <c r="A148" s="1" t="s">
        <v>22</v>
      </c>
    </row>
    <row r="149" ht="12.75">
      <c r="A149" t="s">
        <v>29</v>
      </c>
    </row>
    <row r="151" spans="2:9" ht="12.75">
      <c r="B151" s="3"/>
      <c r="C151" s="3"/>
      <c r="D151" s="3" t="s">
        <v>41</v>
      </c>
      <c r="E151" s="3" t="s">
        <v>14</v>
      </c>
      <c r="F151" s="3"/>
      <c r="G151" s="3" t="s">
        <v>9</v>
      </c>
      <c r="H151" s="3"/>
      <c r="I151" s="9"/>
    </row>
    <row r="152" spans="2:9" ht="12.75">
      <c r="B152" s="3" t="s">
        <v>1</v>
      </c>
      <c r="C152" s="3" t="s">
        <v>3</v>
      </c>
      <c r="D152" s="3" t="s">
        <v>4</v>
      </c>
      <c r="E152" s="3" t="s">
        <v>5</v>
      </c>
      <c r="F152" s="3" t="s">
        <v>26</v>
      </c>
      <c r="G152" s="3" t="s">
        <v>10</v>
      </c>
      <c r="H152" s="3" t="s">
        <v>6</v>
      </c>
      <c r="I152" s="9"/>
    </row>
    <row r="153" spans="2:9" ht="12.75">
      <c r="B153" s="3" t="s">
        <v>2</v>
      </c>
      <c r="C153" s="3" t="s">
        <v>2</v>
      </c>
      <c r="D153" s="3" t="s">
        <v>2</v>
      </c>
      <c r="E153" s="3" t="s">
        <v>2</v>
      </c>
      <c r="F153" s="3" t="s">
        <v>2</v>
      </c>
      <c r="G153" s="3" t="s">
        <v>2</v>
      </c>
      <c r="H153" s="3" t="s">
        <v>2</v>
      </c>
      <c r="I153" s="21" t="s">
        <v>7</v>
      </c>
    </row>
    <row r="154" ht="12.75">
      <c r="A154" s="4" t="s">
        <v>0</v>
      </c>
    </row>
    <row r="155" spans="1:9" ht="12.75">
      <c r="A155" s="6">
        <v>1</v>
      </c>
      <c r="B155" s="6">
        <f aca="true" t="shared" si="38" ref="B155:H155">B138*1</f>
        <v>1.5</v>
      </c>
      <c r="C155" s="6">
        <f t="shared" si="38"/>
        <v>1.5</v>
      </c>
      <c r="D155" s="6">
        <f t="shared" si="38"/>
        <v>1.5</v>
      </c>
      <c r="E155" s="6">
        <f t="shared" si="38"/>
        <v>1.5</v>
      </c>
      <c r="F155" s="6">
        <f t="shared" si="38"/>
        <v>1.5</v>
      </c>
      <c r="G155" s="6">
        <f t="shared" si="38"/>
        <v>1.5</v>
      </c>
      <c r="H155" s="6">
        <f t="shared" si="38"/>
        <v>1.5</v>
      </c>
      <c r="I155" s="25">
        <f aca="true" t="shared" si="39" ref="I155:I162">AVERAGE(B155:H155)</f>
        <v>1.5</v>
      </c>
    </row>
    <row r="156" spans="1:9" ht="12.75">
      <c r="A156" s="6">
        <v>10</v>
      </c>
      <c r="B156" s="6">
        <f aca="true" t="shared" si="40" ref="B156:H156">B139*10</f>
        <v>22.5</v>
      </c>
      <c r="C156" s="6">
        <f t="shared" si="40"/>
        <v>20</v>
      </c>
      <c r="D156" s="6">
        <f t="shared" si="40"/>
        <v>20</v>
      </c>
      <c r="E156" s="6">
        <f t="shared" si="40"/>
        <v>25</v>
      </c>
      <c r="F156" s="6">
        <f t="shared" si="40"/>
        <v>20</v>
      </c>
      <c r="G156" s="6">
        <f t="shared" si="40"/>
        <v>27</v>
      </c>
      <c r="H156" s="6">
        <f t="shared" si="40"/>
        <v>29</v>
      </c>
      <c r="I156" s="25">
        <f t="shared" si="39"/>
        <v>23.357142857142858</v>
      </c>
    </row>
    <row r="157" spans="1:9" ht="12.75">
      <c r="A157" s="6">
        <v>100</v>
      </c>
      <c r="B157" s="6">
        <f aca="true" t="shared" si="41" ref="B157:H157">B140*100</f>
        <v>280</v>
      </c>
      <c r="C157" s="6">
        <f t="shared" si="41"/>
        <v>250</v>
      </c>
      <c r="D157" s="6">
        <f t="shared" si="41"/>
        <v>250</v>
      </c>
      <c r="E157" s="6">
        <f t="shared" si="41"/>
        <v>300</v>
      </c>
      <c r="F157" s="6">
        <f t="shared" si="41"/>
        <v>315</v>
      </c>
      <c r="G157" s="6">
        <f t="shared" si="41"/>
        <v>330</v>
      </c>
      <c r="H157" s="6">
        <f t="shared" si="41"/>
        <v>400</v>
      </c>
      <c r="I157" s="25">
        <f t="shared" si="39"/>
        <v>303.57142857142856</v>
      </c>
    </row>
    <row r="158" spans="1:9" ht="12.75">
      <c r="A158" s="6">
        <v>1000</v>
      </c>
      <c r="B158" s="6">
        <f aca="true" t="shared" si="42" ref="B158:H158">B141*1000</f>
        <v>4300</v>
      </c>
      <c r="C158" s="6">
        <f t="shared" si="42"/>
        <v>4250</v>
      </c>
      <c r="D158" s="6">
        <f t="shared" si="42"/>
        <v>4000</v>
      </c>
      <c r="E158" s="6">
        <f t="shared" si="42"/>
        <v>4300</v>
      </c>
      <c r="F158" s="6">
        <f t="shared" si="42"/>
        <v>4750</v>
      </c>
      <c r="G158" s="6">
        <f t="shared" si="42"/>
        <v>5250</v>
      </c>
      <c r="H158" s="6">
        <f t="shared" si="42"/>
        <v>5500</v>
      </c>
      <c r="I158" s="25">
        <f t="shared" si="39"/>
        <v>4621.428571428572</v>
      </c>
    </row>
    <row r="159" spans="1:9" ht="12.75">
      <c r="A159" s="6">
        <v>10000</v>
      </c>
      <c r="B159" s="6">
        <f aca="true" t="shared" si="43" ref="B159:H159">B142*10000</f>
        <v>55000</v>
      </c>
      <c r="C159" s="6">
        <f t="shared" si="43"/>
        <v>57500</v>
      </c>
      <c r="D159" s="6">
        <f t="shared" si="43"/>
        <v>52500</v>
      </c>
      <c r="E159" s="6">
        <f t="shared" si="43"/>
        <v>62500</v>
      </c>
      <c r="F159" s="6">
        <f t="shared" si="43"/>
        <v>66000</v>
      </c>
      <c r="G159" s="6">
        <f t="shared" si="43"/>
        <v>68000</v>
      </c>
      <c r="H159" s="6">
        <f t="shared" si="43"/>
        <v>70000</v>
      </c>
      <c r="I159" s="25">
        <f t="shared" si="39"/>
        <v>61642.857142857145</v>
      </c>
    </row>
    <row r="160" spans="1:9" ht="12.75">
      <c r="A160" s="6">
        <v>100000</v>
      </c>
      <c r="B160" s="6">
        <f aca="true" t="shared" si="44" ref="B160:H160">B143*100000</f>
        <v>750000</v>
      </c>
      <c r="C160" s="6">
        <f t="shared" si="44"/>
        <v>800000</v>
      </c>
      <c r="D160" s="6">
        <f t="shared" si="44"/>
        <v>700000</v>
      </c>
      <c r="E160" s="6">
        <f t="shared" si="44"/>
        <v>775000</v>
      </c>
      <c r="F160" s="6">
        <f t="shared" si="44"/>
        <v>790000</v>
      </c>
      <c r="G160" s="6">
        <f t="shared" si="44"/>
        <v>800000</v>
      </c>
      <c r="H160" s="6">
        <f t="shared" si="44"/>
        <v>825000</v>
      </c>
      <c r="I160" s="25">
        <f t="shared" si="39"/>
        <v>777142.8571428572</v>
      </c>
    </row>
    <row r="161" spans="1:9" ht="12.75">
      <c r="A161" s="7">
        <v>1000000</v>
      </c>
      <c r="B161" s="6">
        <f aca="true" t="shared" si="45" ref="B161:H161">B144*1000000</f>
        <v>8500000</v>
      </c>
      <c r="C161" s="6">
        <f t="shared" si="45"/>
        <v>8500000</v>
      </c>
      <c r="D161" s="6">
        <f t="shared" si="45"/>
        <v>8000000</v>
      </c>
      <c r="E161" s="6">
        <f t="shared" si="45"/>
        <v>8250000</v>
      </c>
      <c r="F161" s="6">
        <f t="shared" si="45"/>
        <v>8750000</v>
      </c>
      <c r="G161" s="6">
        <f t="shared" si="45"/>
        <v>8900000</v>
      </c>
      <c r="H161" s="6">
        <f t="shared" si="45"/>
        <v>9000000</v>
      </c>
      <c r="I161" s="25">
        <f t="shared" si="39"/>
        <v>8557142.857142856</v>
      </c>
    </row>
    <row r="162" spans="1:9" ht="12.75">
      <c r="A162" s="9" t="s">
        <v>7</v>
      </c>
      <c r="B162" s="25">
        <f aca="true" t="shared" si="46" ref="B162:H162">AVERAGE(B155:B161)</f>
        <v>1329943.4285714286</v>
      </c>
      <c r="C162" s="25">
        <f t="shared" si="46"/>
        <v>1337431.642857143</v>
      </c>
      <c r="D162" s="25">
        <f t="shared" si="46"/>
        <v>1250967.357142857</v>
      </c>
      <c r="E162" s="25">
        <f t="shared" si="46"/>
        <v>1298875.2142857143</v>
      </c>
      <c r="F162" s="25">
        <f t="shared" si="46"/>
        <v>1373012.357142857</v>
      </c>
      <c r="G162" s="25">
        <f t="shared" si="46"/>
        <v>1396229.7857142857</v>
      </c>
      <c r="H162" s="25">
        <f t="shared" si="46"/>
        <v>1414418.642857143</v>
      </c>
      <c r="I162" s="25">
        <f t="shared" si="39"/>
        <v>1342982.6326530613</v>
      </c>
    </row>
    <row r="165" ht="12.75">
      <c r="A165" s="1" t="s">
        <v>23</v>
      </c>
    </row>
    <row r="166" ht="12.75">
      <c r="A166" t="s">
        <v>31</v>
      </c>
    </row>
    <row r="168" spans="2:9" ht="12.75">
      <c r="B168" s="3"/>
      <c r="C168" s="3"/>
      <c r="D168" s="3" t="s">
        <v>41</v>
      </c>
      <c r="E168" s="3" t="s">
        <v>14</v>
      </c>
      <c r="F168" s="3"/>
      <c r="G168" s="3" t="s">
        <v>9</v>
      </c>
      <c r="H168" s="3"/>
      <c r="I168" s="9"/>
    </row>
    <row r="169" spans="2:9" ht="12.75">
      <c r="B169" s="3" t="s">
        <v>1</v>
      </c>
      <c r="C169" s="3" t="s">
        <v>3</v>
      </c>
      <c r="D169" s="3" t="s">
        <v>4</v>
      </c>
      <c r="E169" s="3" t="s">
        <v>5</v>
      </c>
      <c r="F169" s="3" t="s">
        <v>26</v>
      </c>
      <c r="G169" s="3" t="s">
        <v>10</v>
      </c>
      <c r="H169" s="3" t="s">
        <v>6</v>
      </c>
      <c r="I169" s="9"/>
    </row>
    <row r="170" spans="2:9" ht="12.75">
      <c r="B170" s="3" t="s">
        <v>2</v>
      </c>
      <c r="C170" s="3" t="s">
        <v>2</v>
      </c>
      <c r="D170" s="3" t="s">
        <v>2</v>
      </c>
      <c r="E170" s="3" t="s">
        <v>2</v>
      </c>
      <c r="F170" s="3" t="s">
        <v>2</v>
      </c>
      <c r="G170" s="3" t="s">
        <v>2</v>
      </c>
      <c r="H170" s="3" t="s">
        <v>2</v>
      </c>
      <c r="I170" s="21" t="s">
        <v>7</v>
      </c>
    </row>
    <row r="171" ht="12.75">
      <c r="A171" s="4" t="s">
        <v>0</v>
      </c>
    </row>
    <row r="172" spans="1:9" ht="12.75">
      <c r="A172" s="6">
        <v>1</v>
      </c>
      <c r="B172" s="26">
        <v>0.98</v>
      </c>
      <c r="C172" s="26">
        <v>0.94</v>
      </c>
      <c r="D172" s="26">
        <v>0.99</v>
      </c>
      <c r="E172" s="26">
        <v>0.995</v>
      </c>
      <c r="F172" s="26">
        <v>0.95</v>
      </c>
      <c r="G172" s="26">
        <v>0.93</v>
      </c>
      <c r="H172" s="26">
        <v>0.98</v>
      </c>
      <c r="I172" s="27">
        <f aca="true" t="shared" si="47" ref="I172:I179">AVERAGE(B172:H172)</f>
        <v>0.9664285714285715</v>
      </c>
    </row>
    <row r="173" spans="1:9" ht="12.75">
      <c r="A173" s="6">
        <v>10</v>
      </c>
      <c r="B173" s="26">
        <v>0.975</v>
      </c>
      <c r="C173" s="26">
        <v>0.9</v>
      </c>
      <c r="D173" s="26">
        <v>0.98</v>
      </c>
      <c r="E173" s="26">
        <v>0.99</v>
      </c>
      <c r="F173" s="26">
        <v>0.92</v>
      </c>
      <c r="G173" s="26">
        <v>0.89</v>
      </c>
      <c r="H173" s="26">
        <v>0.96</v>
      </c>
      <c r="I173" s="27">
        <f t="shared" si="47"/>
        <v>0.945</v>
      </c>
    </row>
    <row r="174" spans="1:9" ht="12.75">
      <c r="A174" s="6">
        <v>100</v>
      </c>
      <c r="B174" s="26">
        <v>0.94</v>
      </c>
      <c r="C174" s="26">
        <v>0.86</v>
      </c>
      <c r="D174" s="26">
        <v>0.96</v>
      </c>
      <c r="E174" s="26">
        <v>0.98</v>
      </c>
      <c r="F174" s="26">
        <v>0.9</v>
      </c>
      <c r="G174" s="26">
        <v>0.87</v>
      </c>
      <c r="H174" s="26">
        <v>0.94</v>
      </c>
      <c r="I174" s="27">
        <f t="shared" si="47"/>
        <v>0.9214285714285714</v>
      </c>
    </row>
    <row r="175" spans="1:9" ht="12.75">
      <c r="A175" s="6">
        <v>1000</v>
      </c>
      <c r="B175" s="26">
        <v>0.85</v>
      </c>
      <c r="C175" s="26">
        <v>0.82</v>
      </c>
      <c r="D175" s="26">
        <v>0.9</v>
      </c>
      <c r="E175" s="26">
        <v>0.96</v>
      </c>
      <c r="F175" s="26">
        <v>0.86</v>
      </c>
      <c r="G175" s="26">
        <v>0.82</v>
      </c>
      <c r="H175" s="26">
        <v>0.92</v>
      </c>
      <c r="I175" s="27">
        <f t="shared" si="47"/>
        <v>0.8757142857142857</v>
      </c>
    </row>
    <row r="176" spans="1:9" ht="12.75">
      <c r="A176" s="6">
        <v>10000</v>
      </c>
      <c r="B176" s="26">
        <v>0.8</v>
      </c>
      <c r="C176" s="26">
        <v>0.74</v>
      </c>
      <c r="D176" s="26">
        <v>0.86</v>
      </c>
      <c r="E176" s="26">
        <v>0.93</v>
      </c>
      <c r="F176" s="26">
        <v>0.84</v>
      </c>
      <c r="G176" s="26">
        <v>0.72</v>
      </c>
      <c r="H176" s="26">
        <v>0.91</v>
      </c>
      <c r="I176" s="27">
        <f t="shared" si="47"/>
        <v>0.8285714285714285</v>
      </c>
    </row>
    <row r="177" spans="1:9" ht="12.75">
      <c r="A177" s="6">
        <v>100000</v>
      </c>
      <c r="B177" s="26">
        <v>0.7</v>
      </c>
      <c r="C177" s="26">
        <v>0.68</v>
      </c>
      <c r="D177" s="26">
        <v>0.8</v>
      </c>
      <c r="E177" s="26">
        <v>0.89</v>
      </c>
      <c r="F177" s="26">
        <v>0.83</v>
      </c>
      <c r="G177" s="26">
        <v>0.7</v>
      </c>
      <c r="H177" s="26">
        <v>0.9</v>
      </c>
      <c r="I177" s="27">
        <f t="shared" si="47"/>
        <v>0.7857142857142857</v>
      </c>
    </row>
    <row r="178" spans="1:9" ht="12.75">
      <c r="A178" s="7">
        <v>1000000</v>
      </c>
      <c r="B178" s="26">
        <v>0.65</v>
      </c>
      <c r="C178" s="26">
        <v>0.6</v>
      </c>
      <c r="D178" s="26">
        <v>0.77</v>
      </c>
      <c r="E178" s="26">
        <v>0.86</v>
      </c>
      <c r="F178" s="26">
        <v>0.78</v>
      </c>
      <c r="G178" s="26">
        <v>0.6</v>
      </c>
      <c r="H178" s="26">
        <v>0.87</v>
      </c>
      <c r="I178" s="27">
        <f t="shared" si="47"/>
        <v>0.7328571428571429</v>
      </c>
    </row>
    <row r="179" spans="1:9" ht="12.75">
      <c r="A179" s="9" t="s">
        <v>7</v>
      </c>
      <c r="B179" s="27">
        <f aca="true" t="shared" si="48" ref="B179:H179">AVERAGE(B172:B178)</f>
        <v>0.8421428571428572</v>
      </c>
      <c r="C179" s="27">
        <f t="shared" si="48"/>
        <v>0.7914285714285713</v>
      </c>
      <c r="D179" s="27">
        <f t="shared" si="48"/>
        <v>0.8942857142857142</v>
      </c>
      <c r="E179" s="27">
        <f t="shared" si="48"/>
        <v>0.9435714285714285</v>
      </c>
      <c r="F179" s="27">
        <f t="shared" si="48"/>
        <v>0.8685714285714285</v>
      </c>
      <c r="G179" s="27">
        <f t="shared" si="48"/>
        <v>0.7899999999999999</v>
      </c>
      <c r="H179" s="27">
        <f t="shared" si="48"/>
        <v>0.9257142857142858</v>
      </c>
      <c r="I179" s="27">
        <f t="shared" si="47"/>
        <v>0.8651020408163266</v>
      </c>
    </row>
    <row r="182" ht="12.75">
      <c r="A182" s="1" t="s">
        <v>24</v>
      </c>
    </row>
    <row r="183" ht="12.75">
      <c r="A183" t="s">
        <v>32</v>
      </c>
    </row>
    <row r="185" spans="2:9" ht="12.75">
      <c r="B185" s="3"/>
      <c r="C185" s="3"/>
      <c r="D185" s="3" t="s">
        <v>41</v>
      </c>
      <c r="E185" s="3" t="s">
        <v>14</v>
      </c>
      <c r="F185" s="3"/>
      <c r="G185" s="3" t="s">
        <v>9</v>
      </c>
      <c r="H185" s="3"/>
      <c r="I185" s="9"/>
    </row>
    <row r="186" spans="2:9" ht="12.75">
      <c r="B186" s="3" t="s">
        <v>1</v>
      </c>
      <c r="C186" s="3" t="s">
        <v>3</v>
      </c>
      <c r="D186" s="3" t="s">
        <v>4</v>
      </c>
      <c r="E186" s="3" t="s">
        <v>5</v>
      </c>
      <c r="F186" s="3" t="s">
        <v>26</v>
      </c>
      <c r="G186" s="3" t="s">
        <v>10</v>
      </c>
      <c r="H186" s="3" t="s">
        <v>6</v>
      </c>
      <c r="I186" s="9"/>
    </row>
    <row r="187" spans="2:9" ht="12.75">
      <c r="B187" s="3" t="s">
        <v>2</v>
      </c>
      <c r="C187" s="3" t="s">
        <v>2</v>
      </c>
      <c r="D187" s="3" t="s">
        <v>2</v>
      </c>
      <c r="E187" s="3" t="s">
        <v>2</v>
      </c>
      <c r="F187" s="3" t="s">
        <v>2</v>
      </c>
      <c r="G187" s="3" t="s">
        <v>2</v>
      </c>
      <c r="H187" s="3" t="s">
        <v>2</v>
      </c>
      <c r="I187" s="21" t="s">
        <v>7</v>
      </c>
    </row>
    <row r="188" ht="12.75">
      <c r="A188" s="4" t="s">
        <v>0</v>
      </c>
    </row>
    <row r="189" spans="1:9" ht="12.75">
      <c r="A189" s="6">
        <v>1</v>
      </c>
      <c r="B189" s="6">
        <f aca="true" t="shared" si="49" ref="B189:H195">B155*(1-B172)</f>
        <v>0.030000000000000027</v>
      </c>
      <c r="C189" s="6">
        <f t="shared" si="49"/>
        <v>0.09000000000000008</v>
      </c>
      <c r="D189" s="6">
        <f t="shared" si="49"/>
        <v>0.015000000000000013</v>
      </c>
      <c r="E189" s="6">
        <f t="shared" si="49"/>
        <v>0.007500000000000007</v>
      </c>
      <c r="F189" s="6">
        <f t="shared" si="49"/>
        <v>0.07500000000000007</v>
      </c>
      <c r="G189" s="6">
        <f t="shared" si="49"/>
        <v>0.10499999999999993</v>
      </c>
      <c r="H189" s="6">
        <f t="shared" si="49"/>
        <v>0.030000000000000027</v>
      </c>
      <c r="I189" s="25">
        <f aca="true" t="shared" si="50" ref="I189:I196">AVERAGE(B189:H189)</f>
        <v>0.05035714285714288</v>
      </c>
    </row>
    <row r="190" spans="1:9" ht="12.75">
      <c r="A190" s="6">
        <v>10</v>
      </c>
      <c r="B190" s="6">
        <f t="shared" si="49"/>
        <v>0.5625000000000004</v>
      </c>
      <c r="C190" s="6">
        <f t="shared" si="49"/>
        <v>1.9999999999999996</v>
      </c>
      <c r="D190" s="6">
        <f t="shared" si="49"/>
        <v>0.40000000000000036</v>
      </c>
      <c r="E190" s="6">
        <f t="shared" si="49"/>
        <v>0.2500000000000002</v>
      </c>
      <c r="F190" s="6">
        <f t="shared" si="49"/>
        <v>1.5999999999999992</v>
      </c>
      <c r="G190" s="6">
        <f t="shared" si="49"/>
        <v>2.9699999999999998</v>
      </c>
      <c r="H190" s="6">
        <f t="shared" si="49"/>
        <v>1.160000000000001</v>
      </c>
      <c r="I190" s="25">
        <f t="shared" si="50"/>
        <v>1.2775</v>
      </c>
    </row>
    <row r="191" spans="1:9" ht="12.75">
      <c r="A191" s="6">
        <v>100</v>
      </c>
      <c r="B191" s="6">
        <f t="shared" si="49"/>
        <v>16.800000000000015</v>
      </c>
      <c r="C191" s="6">
        <f t="shared" si="49"/>
        <v>35</v>
      </c>
      <c r="D191" s="6">
        <f t="shared" si="49"/>
        <v>10.000000000000009</v>
      </c>
      <c r="E191" s="6">
        <f t="shared" si="49"/>
        <v>6.000000000000005</v>
      </c>
      <c r="F191" s="6">
        <f t="shared" si="49"/>
        <v>31.499999999999993</v>
      </c>
      <c r="G191" s="6">
        <f t="shared" si="49"/>
        <v>42.9</v>
      </c>
      <c r="H191" s="6">
        <f t="shared" si="49"/>
        <v>24.00000000000002</v>
      </c>
      <c r="I191" s="25">
        <f t="shared" si="50"/>
        <v>23.74285714285715</v>
      </c>
    </row>
    <row r="192" spans="1:9" ht="12.75">
      <c r="A192" s="6">
        <v>1000</v>
      </c>
      <c r="B192" s="6">
        <f t="shared" si="49"/>
        <v>645.0000000000001</v>
      </c>
      <c r="C192" s="6">
        <f t="shared" si="49"/>
        <v>765.0000000000002</v>
      </c>
      <c r="D192" s="6">
        <f t="shared" si="49"/>
        <v>399.9999999999999</v>
      </c>
      <c r="E192" s="6">
        <f t="shared" si="49"/>
        <v>172.00000000000014</v>
      </c>
      <c r="F192" s="6">
        <f t="shared" si="49"/>
        <v>665.0000000000001</v>
      </c>
      <c r="G192" s="6">
        <f t="shared" si="49"/>
        <v>945.0000000000002</v>
      </c>
      <c r="H192" s="6">
        <f t="shared" si="49"/>
        <v>439.9999999999998</v>
      </c>
      <c r="I192" s="25">
        <f t="shared" si="50"/>
        <v>576.0000000000001</v>
      </c>
    </row>
    <row r="193" spans="1:9" ht="12.75">
      <c r="A193" s="6">
        <v>10000</v>
      </c>
      <c r="B193" s="6">
        <f t="shared" si="49"/>
        <v>10999.999999999998</v>
      </c>
      <c r="C193" s="6">
        <f t="shared" si="49"/>
        <v>14950</v>
      </c>
      <c r="D193" s="6">
        <f t="shared" si="49"/>
        <v>7350.000000000001</v>
      </c>
      <c r="E193" s="6">
        <f t="shared" si="49"/>
        <v>4374.999999999997</v>
      </c>
      <c r="F193" s="6">
        <f t="shared" si="49"/>
        <v>10560.000000000002</v>
      </c>
      <c r="G193" s="6">
        <f t="shared" si="49"/>
        <v>19040</v>
      </c>
      <c r="H193" s="6">
        <f t="shared" si="49"/>
        <v>6299.999999999998</v>
      </c>
      <c r="I193" s="25">
        <f t="shared" si="50"/>
        <v>10510.714285714286</v>
      </c>
    </row>
    <row r="194" spans="1:9" ht="12.75">
      <c r="A194" s="6">
        <v>100000</v>
      </c>
      <c r="B194" s="6">
        <f t="shared" si="49"/>
        <v>225000.00000000003</v>
      </c>
      <c r="C194" s="6">
        <f t="shared" si="49"/>
        <v>255999.99999999997</v>
      </c>
      <c r="D194" s="6">
        <f t="shared" si="49"/>
        <v>139999.99999999997</v>
      </c>
      <c r="E194" s="6">
        <f t="shared" si="49"/>
        <v>85249.99999999999</v>
      </c>
      <c r="F194" s="6">
        <f t="shared" si="49"/>
        <v>134300.00000000003</v>
      </c>
      <c r="G194" s="6">
        <f t="shared" si="49"/>
        <v>240000.00000000003</v>
      </c>
      <c r="H194" s="6">
        <f t="shared" si="49"/>
        <v>82499.99999999999</v>
      </c>
      <c r="I194" s="25">
        <f t="shared" si="50"/>
        <v>166150</v>
      </c>
    </row>
    <row r="195" spans="1:9" ht="12.75">
      <c r="A195" s="7">
        <v>1000000</v>
      </c>
      <c r="B195" s="6">
        <f t="shared" si="49"/>
        <v>2975000</v>
      </c>
      <c r="C195" s="6">
        <f t="shared" si="49"/>
        <v>3400000</v>
      </c>
      <c r="D195" s="6">
        <f t="shared" si="49"/>
        <v>1839999.9999999998</v>
      </c>
      <c r="E195" s="6">
        <f t="shared" si="49"/>
        <v>1155000</v>
      </c>
      <c r="F195" s="6">
        <f t="shared" si="49"/>
        <v>1924999.9999999998</v>
      </c>
      <c r="G195" s="6">
        <f t="shared" si="49"/>
        <v>3560000</v>
      </c>
      <c r="H195" s="6">
        <f t="shared" si="49"/>
        <v>1170000</v>
      </c>
      <c r="I195" s="25">
        <f t="shared" si="50"/>
        <v>2289285.714285714</v>
      </c>
    </row>
    <row r="196" spans="1:9" ht="12.75">
      <c r="A196" s="9" t="s">
        <v>7</v>
      </c>
      <c r="B196" s="25">
        <f aca="true" t="shared" si="51" ref="B196:H196">AVERAGE(B189:B195)</f>
        <v>458808.91321428574</v>
      </c>
      <c r="C196" s="25">
        <f t="shared" si="51"/>
        <v>524536.0128571428</v>
      </c>
      <c r="D196" s="25">
        <f t="shared" si="51"/>
        <v>283965.77357142855</v>
      </c>
      <c r="E196" s="25">
        <f t="shared" si="51"/>
        <v>177829.0367857143</v>
      </c>
      <c r="F196" s="25">
        <f t="shared" si="51"/>
        <v>295794.02499999997</v>
      </c>
      <c r="G196" s="25">
        <f t="shared" si="51"/>
        <v>545718.7107142857</v>
      </c>
      <c r="H196" s="25">
        <f t="shared" si="51"/>
        <v>179895.02714285714</v>
      </c>
      <c r="I196" s="25">
        <f t="shared" si="50"/>
        <v>352363.92846938776</v>
      </c>
    </row>
    <row r="199" ht="12.75">
      <c r="A199" s="1" t="s">
        <v>25</v>
      </c>
    </row>
    <row r="200" ht="12.75">
      <c r="A200" s="1" t="s">
        <v>74</v>
      </c>
    </row>
    <row r="202" spans="2:9" ht="12.75">
      <c r="B202" s="3"/>
      <c r="C202" s="3"/>
      <c r="D202" s="3" t="s">
        <v>41</v>
      </c>
      <c r="E202" s="3" t="s">
        <v>14</v>
      </c>
      <c r="F202" s="3"/>
      <c r="G202" s="3" t="s">
        <v>9</v>
      </c>
      <c r="H202" s="3"/>
      <c r="I202" s="9"/>
    </row>
    <row r="203" spans="2:9" ht="12.75">
      <c r="B203" s="3" t="s">
        <v>1</v>
      </c>
      <c r="C203" s="3" t="s">
        <v>3</v>
      </c>
      <c r="D203" s="3" t="s">
        <v>4</v>
      </c>
      <c r="E203" s="3" t="s">
        <v>5</v>
      </c>
      <c r="F203" s="3" t="s">
        <v>26</v>
      </c>
      <c r="G203" s="3" t="s">
        <v>10</v>
      </c>
      <c r="H203" s="3" t="s">
        <v>6</v>
      </c>
      <c r="I203" s="9"/>
    </row>
    <row r="204" spans="2:9" ht="12.75">
      <c r="B204" s="3" t="s">
        <v>2</v>
      </c>
      <c r="C204" s="3" t="s">
        <v>2</v>
      </c>
      <c r="D204" s="3" t="s">
        <v>2</v>
      </c>
      <c r="E204" s="3" t="s">
        <v>2</v>
      </c>
      <c r="F204" s="3" t="s">
        <v>2</v>
      </c>
      <c r="G204" s="3" t="s">
        <v>2</v>
      </c>
      <c r="H204" s="3" t="s">
        <v>2</v>
      </c>
      <c r="I204" s="21" t="s">
        <v>7</v>
      </c>
    </row>
    <row r="205" ht="12.75">
      <c r="A205" s="4" t="s">
        <v>0</v>
      </c>
    </row>
    <row r="206" spans="1:9" ht="12.75">
      <c r="A206" s="6">
        <v>1</v>
      </c>
      <c r="B206" s="5">
        <f aca="true" t="shared" si="52" ref="B206:H206">B189/1</f>
        <v>0.030000000000000027</v>
      </c>
      <c r="C206" s="5">
        <f t="shared" si="52"/>
        <v>0.09000000000000008</v>
      </c>
      <c r="D206" s="5">
        <f t="shared" si="52"/>
        <v>0.015000000000000013</v>
      </c>
      <c r="E206" s="5">
        <f t="shared" si="52"/>
        <v>0.007500000000000007</v>
      </c>
      <c r="F206" s="5">
        <f t="shared" si="52"/>
        <v>0.07500000000000007</v>
      </c>
      <c r="G206" s="5">
        <f t="shared" si="52"/>
        <v>0.10499999999999993</v>
      </c>
      <c r="H206" s="5">
        <f t="shared" si="52"/>
        <v>0.030000000000000027</v>
      </c>
      <c r="I206" s="10">
        <f>AVERAGE(B206:H206)</f>
        <v>0.05035714285714288</v>
      </c>
    </row>
    <row r="207" spans="1:9" ht="12.75">
      <c r="A207" s="6">
        <v>10</v>
      </c>
      <c r="B207" s="5">
        <f aca="true" t="shared" si="53" ref="B207:H207">B190/10</f>
        <v>0.05625000000000004</v>
      </c>
      <c r="C207" s="5">
        <f t="shared" si="53"/>
        <v>0.19999999999999996</v>
      </c>
      <c r="D207" s="5">
        <f t="shared" si="53"/>
        <v>0.040000000000000036</v>
      </c>
      <c r="E207" s="5">
        <f t="shared" si="53"/>
        <v>0.025000000000000022</v>
      </c>
      <c r="F207" s="5">
        <f t="shared" si="53"/>
        <v>0.15999999999999992</v>
      </c>
      <c r="G207" s="5">
        <f t="shared" si="53"/>
        <v>0.297</v>
      </c>
      <c r="H207" s="5">
        <f t="shared" si="53"/>
        <v>0.1160000000000001</v>
      </c>
      <c r="I207" s="10">
        <f>AVERAGE(B207:H207)</f>
        <v>0.12775</v>
      </c>
    </row>
    <row r="208" spans="1:9" ht="12.75">
      <c r="A208" s="6">
        <v>100</v>
      </c>
      <c r="B208" s="5">
        <f aca="true" t="shared" si="54" ref="B208:H208">B191/100</f>
        <v>0.16800000000000015</v>
      </c>
      <c r="C208" s="5">
        <f t="shared" si="54"/>
        <v>0.35</v>
      </c>
      <c r="D208" s="5">
        <f t="shared" si="54"/>
        <v>0.10000000000000009</v>
      </c>
      <c r="E208" s="5">
        <f t="shared" si="54"/>
        <v>0.06000000000000005</v>
      </c>
      <c r="F208" s="5">
        <f t="shared" si="54"/>
        <v>0.31499999999999995</v>
      </c>
      <c r="G208" s="5">
        <f t="shared" si="54"/>
        <v>0.429</v>
      </c>
      <c r="H208" s="5">
        <f t="shared" si="54"/>
        <v>0.2400000000000002</v>
      </c>
      <c r="I208" s="10">
        <f>AVERAGE(B208:H208)</f>
        <v>0.2374285714285715</v>
      </c>
    </row>
    <row r="209" spans="1:9" ht="12.75">
      <c r="A209" s="6">
        <v>1000</v>
      </c>
      <c r="B209" s="5">
        <f aca="true" t="shared" si="55" ref="B209:H209">B192/1000</f>
        <v>0.6450000000000001</v>
      </c>
      <c r="C209" s="5">
        <f t="shared" si="55"/>
        <v>0.7650000000000002</v>
      </c>
      <c r="D209" s="5">
        <f t="shared" si="55"/>
        <v>0.3999999999999999</v>
      </c>
      <c r="E209" s="5">
        <f t="shared" si="55"/>
        <v>0.17200000000000015</v>
      </c>
      <c r="F209" s="5">
        <f t="shared" si="55"/>
        <v>0.6650000000000001</v>
      </c>
      <c r="G209" s="5">
        <f t="shared" si="55"/>
        <v>0.9450000000000002</v>
      </c>
      <c r="H209" s="5">
        <f t="shared" si="55"/>
        <v>0.4399999999999998</v>
      </c>
      <c r="I209" s="10">
        <f>AVERAGE(B209:H209)</f>
        <v>0.5760000000000002</v>
      </c>
    </row>
    <row r="210" spans="1:9" ht="12.75">
      <c r="A210" s="6">
        <v>10000</v>
      </c>
      <c r="B210" s="5">
        <f aca="true" t="shared" si="56" ref="B210:I210">B193/10000</f>
        <v>1.0999999999999999</v>
      </c>
      <c r="C210" s="5">
        <f t="shared" si="56"/>
        <v>1.495</v>
      </c>
      <c r="D210" s="5">
        <f t="shared" si="56"/>
        <v>0.7350000000000001</v>
      </c>
      <c r="E210" s="5">
        <f t="shared" si="56"/>
        <v>0.4374999999999997</v>
      </c>
      <c r="F210" s="5">
        <f t="shared" si="56"/>
        <v>1.0560000000000003</v>
      </c>
      <c r="G210" s="5">
        <f t="shared" si="56"/>
        <v>1.904</v>
      </c>
      <c r="H210" s="5">
        <f t="shared" si="56"/>
        <v>0.6299999999999998</v>
      </c>
      <c r="I210" s="10">
        <f t="shared" si="56"/>
        <v>1.0510714285714287</v>
      </c>
    </row>
    <row r="211" spans="1:9" ht="12.75">
      <c r="A211" s="6">
        <v>100000</v>
      </c>
      <c r="B211" s="5">
        <f aca="true" t="shared" si="57" ref="B211:H211">B194/100000</f>
        <v>2.2500000000000004</v>
      </c>
      <c r="C211" s="5">
        <f t="shared" si="57"/>
        <v>2.5599999999999996</v>
      </c>
      <c r="D211" s="5">
        <f t="shared" si="57"/>
        <v>1.3999999999999997</v>
      </c>
      <c r="E211" s="5">
        <f t="shared" si="57"/>
        <v>0.8524999999999998</v>
      </c>
      <c r="F211" s="5">
        <f t="shared" si="57"/>
        <v>1.3430000000000002</v>
      </c>
      <c r="G211" s="5">
        <f t="shared" si="57"/>
        <v>2.4000000000000004</v>
      </c>
      <c r="H211" s="5">
        <f t="shared" si="57"/>
        <v>0.8249999999999998</v>
      </c>
      <c r="I211" s="10">
        <f>AVERAGE(B211:H211)</f>
        <v>1.6615</v>
      </c>
    </row>
    <row r="212" spans="1:9" ht="12.75">
      <c r="A212" s="7">
        <v>1000000</v>
      </c>
      <c r="B212" s="5">
        <f aca="true" t="shared" si="58" ref="B212:H212">B195/1000000</f>
        <v>2.975</v>
      </c>
      <c r="C212" s="5">
        <f t="shared" si="58"/>
        <v>3.4</v>
      </c>
      <c r="D212" s="5">
        <f t="shared" si="58"/>
        <v>1.8399999999999999</v>
      </c>
      <c r="E212" s="5">
        <f t="shared" si="58"/>
        <v>1.155</v>
      </c>
      <c r="F212" s="5">
        <f t="shared" si="58"/>
        <v>1.9249999999999998</v>
      </c>
      <c r="G212" s="5">
        <f t="shared" si="58"/>
        <v>3.56</v>
      </c>
      <c r="H212" s="5">
        <f t="shared" si="58"/>
        <v>1.17</v>
      </c>
      <c r="I212" s="10">
        <f>AVERAGE(B212:H212)</f>
        <v>2.289285714285714</v>
      </c>
    </row>
    <row r="213" spans="1:9" ht="12.75">
      <c r="A213" s="9" t="s">
        <v>7</v>
      </c>
      <c r="B213" s="10">
        <f aca="true" t="shared" si="59" ref="B213:H213">AVERAGE(B206:B212)</f>
        <v>1.0320357142857144</v>
      </c>
      <c r="C213" s="10">
        <f t="shared" si="59"/>
        <v>1.2657142857142856</v>
      </c>
      <c r="D213" s="10">
        <f t="shared" si="59"/>
        <v>0.647142857142857</v>
      </c>
      <c r="E213" s="10">
        <f t="shared" si="59"/>
        <v>0.38707142857142857</v>
      </c>
      <c r="F213" s="10">
        <f t="shared" si="59"/>
        <v>0.7912857142857144</v>
      </c>
      <c r="G213" s="10">
        <f t="shared" si="59"/>
        <v>1.3771428571428572</v>
      </c>
      <c r="H213" s="10">
        <f t="shared" si="59"/>
        <v>0.49299999999999994</v>
      </c>
      <c r="I213" s="10">
        <f>AVERAGE(B213:H213)</f>
        <v>0.8561989795918368</v>
      </c>
    </row>
    <row r="216" ht="12.75">
      <c r="A216" s="1" t="s">
        <v>70</v>
      </c>
    </row>
    <row r="217" ht="12.75">
      <c r="A217" t="s">
        <v>68</v>
      </c>
    </row>
    <row r="218" ht="12.75">
      <c r="A218" t="s">
        <v>75</v>
      </c>
    </row>
    <row r="220" spans="2:9" ht="12.75">
      <c r="B220" s="3"/>
      <c r="C220" s="3"/>
      <c r="D220" s="3" t="s">
        <v>41</v>
      </c>
      <c r="E220" s="3" t="s">
        <v>14</v>
      </c>
      <c r="F220" s="3"/>
      <c r="G220" s="3" t="s">
        <v>9</v>
      </c>
      <c r="H220" s="3"/>
      <c r="I220" s="9"/>
    </row>
    <row r="221" spans="2:9" ht="12.75">
      <c r="B221" s="3" t="s">
        <v>1</v>
      </c>
      <c r="C221" s="3" t="s">
        <v>3</v>
      </c>
      <c r="D221" s="3" t="s">
        <v>4</v>
      </c>
      <c r="E221" s="3" t="s">
        <v>5</v>
      </c>
      <c r="F221" s="3" t="s">
        <v>26</v>
      </c>
      <c r="G221" s="3" t="s">
        <v>10</v>
      </c>
      <c r="H221" s="3" t="s">
        <v>6</v>
      </c>
      <c r="I221" s="9"/>
    </row>
    <row r="222" spans="2:9" ht="12.75">
      <c r="B222" s="3" t="s">
        <v>2</v>
      </c>
      <c r="C222" s="3" t="s">
        <v>2</v>
      </c>
      <c r="D222" s="3" t="s">
        <v>2</v>
      </c>
      <c r="E222" s="3" t="s">
        <v>2</v>
      </c>
      <c r="F222" s="3" t="s">
        <v>2</v>
      </c>
      <c r="G222" s="3" t="s">
        <v>2</v>
      </c>
      <c r="H222" s="3" t="s">
        <v>2</v>
      </c>
      <c r="I222" s="21" t="s">
        <v>7</v>
      </c>
    </row>
    <row r="223" ht="12.75">
      <c r="A223" s="4" t="s">
        <v>0</v>
      </c>
    </row>
    <row r="224" spans="1:9" ht="12.75">
      <c r="A224" s="6">
        <v>1</v>
      </c>
      <c r="B224" s="26">
        <v>0.95</v>
      </c>
      <c r="C224" s="26">
        <v>0.97</v>
      </c>
      <c r="D224" s="26">
        <v>0.96</v>
      </c>
      <c r="E224" s="26">
        <v>0.99</v>
      </c>
      <c r="F224" s="26">
        <v>0.95</v>
      </c>
      <c r="G224" s="26">
        <v>0.9</v>
      </c>
      <c r="H224" s="26">
        <v>0.99</v>
      </c>
      <c r="I224" s="27">
        <f aca="true" t="shared" si="60" ref="I224:I231">AVERAGE(B224:H224)</f>
        <v>0.9585714285714287</v>
      </c>
    </row>
    <row r="225" spans="1:9" ht="12.75">
      <c r="A225" s="6">
        <v>10</v>
      </c>
      <c r="B225" s="26">
        <v>0.92</v>
      </c>
      <c r="C225" s="26">
        <v>0.95</v>
      </c>
      <c r="D225" s="26">
        <v>0.94</v>
      </c>
      <c r="E225" s="26">
        <v>0.96</v>
      </c>
      <c r="F225" s="26">
        <v>0.92</v>
      </c>
      <c r="G225" s="26">
        <v>0.85</v>
      </c>
      <c r="H225" s="26">
        <v>0.96</v>
      </c>
      <c r="I225" s="27">
        <f t="shared" si="60"/>
        <v>0.9285714285714286</v>
      </c>
    </row>
    <row r="226" spans="1:9" ht="12.75">
      <c r="A226" s="6">
        <v>100</v>
      </c>
      <c r="B226" s="26">
        <v>0.8</v>
      </c>
      <c r="C226" s="26">
        <v>0.9</v>
      </c>
      <c r="D226" s="26">
        <v>0.85</v>
      </c>
      <c r="E226" s="26">
        <v>0.9</v>
      </c>
      <c r="F226" s="26">
        <v>0.75</v>
      </c>
      <c r="G226" s="26">
        <v>0.7</v>
      </c>
      <c r="H226" s="26">
        <v>0.92</v>
      </c>
      <c r="I226" s="27">
        <f t="shared" si="60"/>
        <v>0.8314285714285715</v>
      </c>
    </row>
    <row r="227" spans="1:9" ht="12.75">
      <c r="A227" s="6">
        <v>1000</v>
      </c>
      <c r="B227" s="26">
        <v>0.55</v>
      </c>
      <c r="C227" s="26">
        <v>0.8</v>
      </c>
      <c r="D227" s="26">
        <v>0.7</v>
      </c>
      <c r="E227" s="26">
        <v>0.85</v>
      </c>
      <c r="F227" s="26">
        <v>0.7</v>
      </c>
      <c r="G227" s="26">
        <v>0.6</v>
      </c>
      <c r="H227" s="26">
        <v>0.82</v>
      </c>
      <c r="I227" s="27">
        <f t="shared" si="60"/>
        <v>0.7171428571428571</v>
      </c>
    </row>
    <row r="228" spans="1:9" ht="12.75">
      <c r="A228" s="6">
        <v>10000</v>
      </c>
      <c r="B228" s="26">
        <v>0.35</v>
      </c>
      <c r="C228" s="26">
        <v>0.6</v>
      </c>
      <c r="D228" s="26">
        <v>0.5</v>
      </c>
      <c r="E228" s="26">
        <v>0.7</v>
      </c>
      <c r="F228" s="26">
        <v>0.55</v>
      </c>
      <c r="G228" s="26">
        <v>0.4</v>
      </c>
      <c r="H228" s="26">
        <v>0.75</v>
      </c>
      <c r="I228" s="27">
        <f t="shared" si="60"/>
        <v>0.55</v>
      </c>
    </row>
    <row r="229" spans="1:9" ht="12.75">
      <c r="A229" s="6">
        <v>100000</v>
      </c>
      <c r="B229" s="26">
        <v>0.15</v>
      </c>
      <c r="C229" s="26">
        <v>0.4</v>
      </c>
      <c r="D229" s="26">
        <v>0.25</v>
      </c>
      <c r="E229" s="26">
        <v>0.5</v>
      </c>
      <c r="F229" s="26">
        <v>0.35</v>
      </c>
      <c r="G229" s="26">
        <v>0.2</v>
      </c>
      <c r="H229" s="26">
        <v>0.55</v>
      </c>
      <c r="I229" s="27">
        <f t="shared" si="60"/>
        <v>0.34285714285714286</v>
      </c>
    </row>
    <row r="230" spans="1:9" ht="12.75">
      <c r="A230" s="7">
        <v>1000000</v>
      </c>
      <c r="B230" s="26">
        <v>0.1</v>
      </c>
      <c r="C230" s="26">
        <v>0.3</v>
      </c>
      <c r="D230" s="26">
        <v>0.15</v>
      </c>
      <c r="E230" s="26">
        <v>0.4</v>
      </c>
      <c r="F230" s="26">
        <v>0.25</v>
      </c>
      <c r="G230" s="26">
        <v>0.125</v>
      </c>
      <c r="H230" s="26">
        <v>0.5</v>
      </c>
      <c r="I230" s="27">
        <f t="shared" si="60"/>
        <v>0.26071428571428573</v>
      </c>
    </row>
    <row r="231" spans="1:9" ht="12.75">
      <c r="A231" s="9" t="s">
        <v>7</v>
      </c>
      <c r="B231" s="27">
        <f aca="true" t="shared" si="61" ref="B231:H231">AVERAGE(B224:B230)</f>
        <v>0.5457142857142857</v>
      </c>
      <c r="C231" s="27">
        <f t="shared" si="61"/>
        <v>0.7028571428571428</v>
      </c>
      <c r="D231" s="27">
        <f t="shared" si="61"/>
        <v>0.6214285714285716</v>
      </c>
      <c r="E231" s="27">
        <f t="shared" si="61"/>
        <v>0.7571428571428572</v>
      </c>
      <c r="F231" s="27">
        <f t="shared" si="61"/>
        <v>0.6385714285714286</v>
      </c>
      <c r="G231" s="27">
        <f t="shared" si="61"/>
        <v>0.5392857142857144</v>
      </c>
      <c r="H231" s="27">
        <f t="shared" si="61"/>
        <v>0.7842857142857141</v>
      </c>
      <c r="I231" s="27">
        <f t="shared" si="60"/>
        <v>0.6556122448979592</v>
      </c>
    </row>
    <row r="234" ht="12.75">
      <c r="A234" s="1" t="s">
        <v>71</v>
      </c>
    </row>
    <row r="235" ht="12.75">
      <c r="A235" t="s">
        <v>68</v>
      </c>
    </row>
    <row r="236" ht="12.75">
      <c r="A236" t="s">
        <v>75</v>
      </c>
    </row>
    <row r="238" spans="2:9" ht="12.75">
      <c r="B238" s="3"/>
      <c r="C238" s="3"/>
      <c r="D238" s="3" t="s">
        <v>41</v>
      </c>
      <c r="E238" s="3" t="s">
        <v>14</v>
      </c>
      <c r="F238" s="3"/>
      <c r="G238" s="3" t="s">
        <v>9</v>
      </c>
      <c r="H238" s="3"/>
      <c r="I238" s="9"/>
    </row>
    <row r="239" spans="2:9" ht="12.75">
      <c r="B239" s="3" t="s">
        <v>1</v>
      </c>
      <c r="C239" s="3" t="s">
        <v>3</v>
      </c>
      <c r="D239" s="3" t="s">
        <v>4</v>
      </c>
      <c r="E239" s="3" t="s">
        <v>5</v>
      </c>
      <c r="F239" s="3" t="s">
        <v>26</v>
      </c>
      <c r="G239" s="3" t="s">
        <v>10</v>
      </c>
      <c r="H239" s="3" t="s">
        <v>6</v>
      </c>
      <c r="I239" s="9"/>
    </row>
    <row r="240" spans="2:9" ht="12.75">
      <c r="B240" s="3" t="s">
        <v>2</v>
      </c>
      <c r="C240" s="3" t="s">
        <v>2</v>
      </c>
      <c r="D240" s="3" t="s">
        <v>2</v>
      </c>
      <c r="E240" s="3" t="s">
        <v>2</v>
      </c>
      <c r="F240" s="3" t="s">
        <v>2</v>
      </c>
      <c r="G240" s="3" t="s">
        <v>2</v>
      </c>
      <c r="H240" s="3" t="s">
        <v>2</v>
      </c>
      <c r="I240" s="21" t="s">
        <v>7</v>
      </c>
    </row>
    <row r="241" ht="12.75">
      <c r="A241" s="4" t="s">
        <v>0</v>
      </c>
    </row>
    <row r="242" spans="1:9" ht="12.75">
      <c r="A242" s="6">
        <v>1</v>
      </c>
      <c r="B242" s="6">
        <f aca="true" t="shared" si="62" ref="B242:H248">B189*B224</f>
        <v>0.028500000000000025</v>
      </c>
      <c r="C242" s="6">
        <f t="shared" si="62"/>
        <v>0.08730000000000007</v>
      </c>
      <c r="D242" s="6">
        <f t="shared" si="62"/>
        <v>0.014400000000000012</v>
      </c>
      <c r="E242" s="6">
        <f t="shared" si="62"/>
        <v>0.007425000000000006</v>
      </c>
      <c r="F242" s="6">
        <f t="shared" si="62"/>
        <v>0.07125000000000006</v>
      </c>
      <c r="G242" s="6">
        <f t="shared" si="62"/>
        <v>0.09449999999999993</v>
      </c>
      <c r="H242" s="6">
        <f t="shared" si="62"/>
        <v>0.029700000000000025</v>
      </c>
      <c r="I242" s="25">
        <f aca="true" t="shared" si="63" ref="I242:I249">AVERAGE(B242:H242)</f>
        <v>0.04758214285714287</v>
      </c>
    </row>
    <row r="243" spans="1:9" ht="12.75">
      <c r="A243" s="6">
        <v>10</v>
      </c>
      <c r="B243" s="6">
        <f t="shared" si="62"/>
        <v>0.5175000000000004</v>
      </c>
      <c r="C243" s="6">
        <f t="shared" si="62"/>
        <v>1.8999999999999995</v>
      </c>
      <c r="D243" s="6">
        <f t="shared" si="62"/>
        <v>0.37600000000000033</v>
      </c>
      <c r="E243" s="6">
        <f t="shared" si="62"/>
        <v>0.2400000000000002</v>
      </c>
      <c r="F243" s="6">
        <f t="shared" si="62"/>
        <v>1.4719999999999993</v>
      </c>
      <c r="G243" s="6">
        <f t="shared" si="62"/>
        <v>2.5244999999999997</v>
      </c>
      <c r="H243" s="6">
        <f t="shared" si="62"/>
        <v>1.113600000000001</v>
      </c>
      <c r="I243" s="25">
        <f t="shared" si="63"/>
        <v>1.1633714285714287</v>
      </c>
    </row>
    <row r="244" spans="1:9" ht="12.75">
      <c r="A244" s="6">
        <v>100</v>
      </c>
      <c r="B244" s="6">
        <f t="shared" si="62"/>
        <v>13.440000000000012</v>
      </c>
      <c r="C244" s="6">
        <f t="shared" si="62"/>
        <v>31.5</v>
      </c>
      <c r="D244" s="6">
        <f t="shared" si="62"/>
        <v>8.500000000000007</v>
      </c>
      <c r="E244" s="6">
        <f t="shared" si="62"/>
        <v>5.400000000000005</v>
      </c>
      <c r="F244" s="6">
        <f t="shared" si="62"/>
        <v>23.624999999999993</v>
      </c>
      <c r="G244" s="6">
        <f t="shared" si="62"/>
        <v>30.029999999999998</v>
      </c>
      <c r="H244" s="6">
        <f t="shared" si="62"/>
        <v>22.08000000000002</v>
      </c>
      <c r="I244" s="25">
        <f t="shared" si="63"/>
        <v>19.225000000000005</v>
      </c>
    </row>
    <row r="245" spans="1:9" ht="12.75">
      <c r="A245" s="6">
        <v>1000</v>
      </c>
      <c r="B245" s="6">
        <f t="shared" si="62"/>
        <v>354.7500000000001</v>
      </c>
      <c r="C245" s="6">
        <f t="shared" si="62"/>
        <v>612.0000000000002</v>
      </c>
      <c r="D245" s="6">
        <f t="shared" si="62"/>
        <v>279.9999999999999</v>
      </c>
      <c r="E245" s="6">
        <f t="shared" si="62"/>
        <v>146.20000000000013</v>
      </c>
      <c r="F245" s="6">
        <f t="shared" si="62"/>
        <v>465.50000000000006</v>
      </c>
      <c r="G245" s="6">
        <f t="shared" si="62"/>
        <v>567.0000000000001</v>
      </c>
      <c r="H245" s="6">
        <f t="shared" si="62"/>
        <v>360.7999999999998</v>
      </c>
      <c r="I245" s="25">
        <f t="shared" si="63"/>
        <v>398.0357142857143</v>
      </c>
    </row>
    <row r="246" spans="1:9" ht="12.75">
      <c r="A246" s="6">
        <v>10000</v>
      </c>
      <c r="B246" s="6">
        <f t="shared" si="62"/>
        <v>3849.999999999999</v>
      </c>
      <c r="C246" s="6">
        <f t="shared" si="62"/>
        <v>8970</v>
      </c>
      <c r="D246" s="6">
        <f t="shared" si="62"/>
        <v>3675.0000000000005</v>
      </c>
      <c r="E246" s="6">
        <f t="shared" si="62"/>
        <v>3062.4999999999977</v>
      </c>
      <c r="F246" s="6">
        <f t="shared" si="62"/>
        <v>5808.000000000002</v>
      </c>
      <c r="G246" s="6">
        <f t="shared" si="62"/>
        <v>7616</v>
      </c>
      <c r="H246" s="6">
        <f t="shared" si="62"/>
        <v>4724.999999999998</v>
      </c>
      <c r="I246" s="25">
        <f t="shared" si="63"/>
        <v>5386.642857142857</v>
      </c>
    </row>
    <row r="247" spans="1:9" ht="12.75">
      <c r="A247" s="6">
        <v>100000</v>
      </c>
      <c r="B247" s="6">
        <f t="shared" si="62"/>
        <v>33750</v>
      </c>
      <c r="C247" s="6">
        <f t="shared" si="62"/>
        <v>102400</v>
      </c>
      <c r="D247" s="6">
        <f t="shared" si="62"/>
        <v>34999.99999999999</v>
      </c>
      <c r="E247" s="6">
        <f t="shared" si="62"/>
        <v>42624.99999999999</v>
      </c>
      <c r="F247" s="6">
        <f t="shared" si="62"/>
        <v>47005.00000000001</v>
      </c>
      <c r="G247" s="6">
        <f t="shared" si="62"/>
        <v>48000.00000000001</v>
      </c>
      <c r="H247" s="6">
        <f t="shared" si="62"/>
        <v>45374.99999999999</v>
      </c>
      <c r="I247" s="25">
        <f t="shared" si="63"/>
        <v>50593.57142857143</v>
      </c>
    </row>
    <row r="248" spans="1:9" ht="12.75">
      <c r="A248" s="7">
        <v>1000000</v>
      </c>
      <c r="B248" s="6">
        <f t="shared" si="62"/>
        <v>297500</v>
      </c>
      <c r="C248" s="6">
        <f t="shared" si="62"/>
        <v>1020000</v>
      </c>
      <c r="D248" s="6">
        <f t="shared" si="62"/>
        <v>275999.99999999994</v>
      </c>
      <c r="E248" s="6">
        <f t="shared" si="62"/>
        <v>462000</v>
      </c>
      <c r="F248" s="6">
        <f t="shared" si="62"/>
        <v>481249.99999999994</v>
      </c>
      <c r="G248" s="6">
        <f t="shared" si="62"/>
        <v>445000</v>
      </c>
      <c r="H248" s="6">
        <f t="shared" si="62"/>
        <v>585000</v>
      </c>
      <c r="I248" s="25">
        <f t="shared" si="63"/>
        <v>509535.71428571426</v>
      </c>
    </row>
    <row r="249" spans="1:9" ht="12.75">
      <c r="A249" s="9" t="s">
        <v>7</v>
      </c>
      <c r="B249" s="25">
        <f aca="true" t="shared" si="64" ref="B249:H249">AVERAGE(B242:B248)</f>
        <v>47924.10514285714</v>
      </c>
      <c r="C249" s="25">
        <f t="shared" si="64"/>
        <v>161716.49818571427</v>
      </c>
      <c r="D249" s="25">
        <f t="shared" si="64"/>
        <v>44994.84148571427</v>
      </c>
      <c r="E249" s="25">
        <f t="shared" si="64"/>
        <v>72548.47820357143</v>
      </c>
      <c r="F249" s="25">
        <f t="shared" si="64"/>
        <v>76364.80975</v>
      </c>
      <c r="G249" s="25">
        <f t="shared" si="64"/>
        <v>71602.23557142857</v>
      </c>
      <c r="H249" s="25">
        <f t="shared" si="64"/>
        <v>90783.4319</v>
      </c>
      <c r="I249" s="25">
        <f t="shared" si="63"/>
        <v>80847.77146275509</v>
      </c>
    </row>
    <row r="252" ht="12.75">
      <c r="A252" s="1" t="s">
        <v>72</v>
      </c>
    </row>
    <row r="253" ht="12.75">
      <c r="A253" t="s">
        <v>68</v>
      </c>
    </row>
    <row r="254" ht="12.75">
      <c r="A254" t="s">
        <v>76</v>
      </c>
    </row>
    <row r="256" spans="2:9" ht="12.75">
      <c r="B256" s="3"/>
      <c r="C256" s="3"/>
      <c r="D256" s="3" t="s">
        <v>41</v>
      </c>
      <c r="E256" s="3" t="s">
        <v>14</v>
      </c>
      <c r="F256" s="3"/>
      <c r="G256" s="3" t="s">
        <v>9</v>
      </c>
      <c r="H256" s="3"/>
      <c r="I256" s="9"/>
    </row>
    <row r="257" spans="2:9" ht="12.75">
      <c r="B257" s="3" t="s">
        <v>1</v>
      </c>
      <c r="C257" s="3" t="s">
        <v>3</v>
      </c>
      <c r="D257" s="3" t="s">
        <v>4</v>
      </c>
      <c r="E257" s="3" t="s">
        <v>5</v>
      </c>
      <c r="F257" s="3" t="s">
        <v>26</v>
      </c>
      <c r="G257" s="3" t="s">
        <v>10</v>
      </c>
      <c r="H257" s="3" t="s">
        <v>6</v>
      </c>
      <c r="I257" s="9"/>
    </row>
    <row r="258" spans="2:9" ht="12.75">
      <c r="B258" s="3" t="s">
        <v>2</v>
      </c>
      <c r="C258" s="3" t="s">
        <v>2</v>
      </c>
      <c r="D258" s="3" t="s">
        <v>2</v>
      </c>
      <c r="E258" s="3" t="s">
        <v>2</v>
      </c>
      <c r="F258" s="3" t="s">
        <v>2</v>
      </c>
      <c r="G258" s="3" t="s">
        <v>2</v>
      </c>
      <c r="H258" s="3" t="s">
        <v>2</v>
      </c>
      <c r="I258" s="21" t="s">
        <v>7</v>
      </c>
    </row>
    <row r="259" ht="12.75">
      <c r="A259" s="4" t="s">
        <v>0</v>
      </c>
    </row>
    <row r="260" spans="1:9" ht="12.75">
      <c r="A260" s="6">
        <v>1</v>
      </c>
      <c r="B260" s="5">
        <f aca="true" t="shared" si="65" ref="B260:H260">B242/1</f>
        <v>0.028500000000000025</v>
      </c>
      <c r="C260" s="5">
        <f t="shared" si="65"/>
        <v>0.08730000000000007</v>
      </c>
      <c r="D260" s="5">
        <f t="shared" si="65"/>
        <v>0.014400000000000012</v>
      </c>
      <c r="E260" s="5">
        <f t="shared" si="65"/>
        <v>0.007425000000000006</v>
      </c>
      <c r="F260" s="5">
        <f t="shared" si="65"/>
        <v>0.07125000000000006</v>
      </c>
      <c r="G260" s="5">
        <f t="shared" si="65"/>
        <v>0.09449999999999993</v>
      </c>
      <c r="H260" s="5">
        <f t="shared" si="65"/>
        <v>0.029700000000000025</v>
      </c>
      <c r="I260" s="10">
        <f>AVERAGE(B260:H260)</f>
        <v>0.04758214285714287</v>
      </c>
    </row>
    <row r="261" spans="1:9" ht="12.75">
      <c r="A261" s="6">
        <v>10</v>
      </c>
      <c r="B261" s="5">
        <f aca="true" t="shared" si="66" ref="B261:H261">B243/10</f>
        <v>0.05175000000000004</v>
      </c>
      <c r="C261" s="5">
        <f t="shared" si="66"/>
        <v>0.18999999999999995</v>
      </c>
      <c r="D261" s="5">
        <f t="shared" si="66"/>
        <v>0.037600000000000036</v>
      </c>
      <c r="E261" s="5">
        <f t="shared" si="66"/>
        <v>0.02400000000000002</v>
      </c>
      <c r="F261" s="5">
        <f t="shared" si="66"/>
        <v>0.14719999999999994</v>
      </c>
      <c r="G261" s="5">
        <f t="shared" si="66"/>
        <v>0.25244999999999995</v>
      </c>
      <c r="H261" s="5">
        <f t="shared" si="66"/>
        <v>0.1113600000000001</v>
      </c>
      <c r="I261" s="10">
        <f>AVERAGE(B261:H261)</f>
        <v>0.11633714285714288</v>
      </c>
    </row>
    <row r="262" spans="1:9" ht="12.75">
      <c r="A262" s="6">
        <v>100</v>
      </c>
      <c r="B262" s="5">
        <f aca="true" t="shared" si="67" ref="B262:H262">B244/100</f>
        <v>0.13440000000000013</v>
      </c>
      <c r="C262" s="5">
        <f t="shared" si="67"/>
        <v>0.315</v>
      </c>
      <c r="D262" s="5">
        <f t="shared" si="67"/>
        <v>0.08500000000000008</v>
      </c>
      <c r="E262" s="5">
        <f t="shared" si="67"/>
        <v>0.05400000000000005</v>
      </c>
      <c r="F262" s="5">
        <f t="shared" si="67"/>
        <v>0.23624999999999993</v>
      </c>
      <c r="G262" s="5">
        <f t="shared" si="67"/>
        <v>0.30029999999999996</v>
      </c>
      <c r="H262" s="5">
        <f t="shared" si="67"/>
        <v>0.2208000000000002</v>
      </c>
      <c r="I262" s="10">
        <f>AVERAGE(B262:H262)</f>
        <v>0.19225000000000003</v>
      </c>
    </row>
    <row r="263" spans="1:9" ht="12.75">
      <c r="A263" s="6">
        <v>1000</v>
      </c>
      <c r="B263" s="5">
        <f aca="true" t="shared" si="68" ref="B263:H263">B245/1000</f>
        <v>0.3547500000000001</v>
      </c>
      <c r="C263" s="5">
        <f t="shared" si="68"/>
        <v>0.6120000000000002</v>
      </c>
      <c r="D263" s="5">
        <f t="shared" si="68"/>
        <v>0.27999999999999986</v>
      </c>
      <c r="E263" s="5">
        <f t="shared" si="68"/>
        <v>0.14620000000000014</v>
      </c>
      <c r="F263" s="5">
        <f t="shared" si="68"/>
        <v>0.4655000000000001</v>
      </c>
      <c r="G263" s="5">
        <f t="shared" si="68"/>
        <v>0.5670000000000001</v>
      </c>
      <c r="H263" s="5">
        <f t="shared" si="68"/>
        <v>0.3607999999999998</v>
      </c>
      <c r="I263" s="10">
        <f>AVERAGE(B263:H263)</f>
        <v>0.3980357142857143</v>
      </c>
    </row>
    <row r="264" spans="1:9" ht="12.75">
      <c r="A264" s="6">
        <v>10000</v>
      </c>
      <c r="B264" s="5">
        <f aca="true" t="shared" si="69" ref="B264:H264">B246/10000</f>
        <v>0.3849999999999999</v>
      </c>
      <c r="C264" s="5">
        <f t="shared" si="69"/>
        <v>0.897</v>
      </c>
      <c r="D264" s="5">
        <f t="shared" si="69"/>
        <v>0.36750000000000005</v>
      </c>
      <c r="E264" s="5">
        <f t="shared" si="69"/>
        <v>0.3062499999999998</v>
      </c>
      <c r="F264" s="5">
        <f t="shared" si="69"/>
        <v>0.5808000000000002</v>
      </c>
      <c r="G264" s="5">
        <f t="shared" si="69"/>
        <v>0.7616</v>
      </c>
      <c r="H264" s="5">
        <f t="shared" si="69"/>
        <v>0.4724999999999998</v>
      </c>
      <c r="I264" s="10">
        <f>I247/10000</f>
        <v>5.059357142857142</v>
      </c>
    </row>
    <row r="265" spans="1:9" ht="12.75">
      <c r="A265" s="6">
        <v>100000</v>
      </c>
      <c r="B265" s="5">
        <f aca="true" t="shared" si="70" ref="B265:H265">B247/100000</f>
        <v>0.3375</v>
      </c>
      <c r="C265" s="5">
        <f t="shared" si="70"/>
        <v>1.024</v>
      </c>
      <c r="D265" s="5">
        <f t="shared" si="70"/>
        <v>0.3499999999999999</v>
      </c>
      <c r="E265" s="5">
        <f t="shared" si="70"/>
        <v>0.4262499999999999</v>
      </c>
      <c r="F265" s="5">
        <f t="shared" si="70"/>
        <v>0.4700500000000001</v>
      </c>
      <c r="G265" s="5">
        <f t="shared" si="70"/>
        <v>0.4800000000000001</v>
      </c>
      <c r="H265" s="5">
        <f t="shared" si="70"/>
        <v>0.45374999999999993</v>
      </c>
      <c r="I265" s="10">
        <f>AVERAGE(B265:H265)</f>
        <v>0.5059357142857143</v>
      </c>
    </row>
    <row r="266" spans="1:9" ht="12.75">
      <c r="A266" s="7">
        <v>1000000</v>
      </c>
      <c r="B266" s="5">
        <f aca="true" t="shared" si="71" ref="B266:H266">B248/1000000</f>
        <v>0.2975</v>
      </c>
      <c r="C266" s="5">
        <f t="shared" si="71"/>
        <v>1.02</v>
      </c>
      <c r="D266" s="5">
        <f t="shared" si="71"/>
        <v>0.27599999999999997</v>
      </c>
      <c r="E266" s="5">
        <f t="shared" si="71"/>
        <v>0.462</v>
      </c>
      <c r="F266" s="5">
        <f t="shared" si="71"/>
        <v>0.48124999999999996</v>
      </c>
      <c r="G266" s="5">
        <f t="shared" si="71"/>
        <v>0.445</v>
      </c>
      <c r="H266" s="5">
        <f t="shared" si="71"/>
        <v>0.585</v>
      </c>
      <c r="I266" s="10">
        <f>AVERAGE(B266:H266)</f>
        <v>0.5095357142857142</v>
      </c>
    </row>
    <row r="267" spans="1:9" ht="12.75">
      <c r="A267" s="9" t="s">
        <v>7</v>
      </c>
      <c r="B267" s="10">
        <f aca="true" t="shared" si="72" ref="B267:H267">AVERAGE(B260:B266)</f>
        <v>0.2270571428571429</v>
      </c>
      <c r="C267" s="10">
        <f t="shared" si="72"/>
        <v>0.5921857142857144</v>
      </c>
      <c r="D267" s="10">
        <f t="shared" si="72"/>
        <v>0.20149999999999998</v>
      </c>
      <c r="E267" s="10">
        <f t="shared" si="72"/>
        <v>0.20373214285714283</v>
      </c>
      <c r="F267" s="10">
        <f t="shared" si="72"/>
        <v>0.35032857142857143</v>
      </c>
      <c r="G267" s="10">
        <f t="shared" si="72"/>
        <v>0.4144071428571428</v>
      </c>
      <c r="H267" s="10">
        <f t="shared" si="72"/>
        <v>0.31912999999999997</v>
      </c>
      <c r="I267" s="10">
        <f>AVERAGE(B267:H267)</f>
        <v>0.3297629591836735</v>
      </c>
    </row>
    <row r="270" ht="12.75">
      <c r="A270" s="1" t="s">
        <v>349</v>
      </c>
    </row>
    <row r="271" ht="12.75">
      <c r="A271" t="s">
        <v>291</v>
      </c>
    </row>
    <row r="273" spans="2:9" ht="12.75">
      <c r="B273" s="3"/>
      <c r="C273" s="3"/>
      <c r="D273" s="3" t="s">
        <v>41</v>
      </c>
      <c r="E273" s="3" t="s">
        <v>14</v>
      </c>
      <c r="F273" s="3"/>
      <c r="G273" s="3" t="s">
        <v>9</v>
      </c>
      <c r="H273" s="3"/>
      <c r="I273" s="9"/>
    </row>
    <row r="274" spans="2:9" ht="12.75">
      <c r="B274" s="3" t="s">
        <v>1</v>
      </c>
      <c r="C274" s="3" t="s">
        <v>3</v>
      </c>
      <c r="D274" s="3" t="s">
        <v>4</v>
      </c>
      <c r="E274" s="3" t="s">
        <v>5</v>
      </c>
      <c r="F274" s="3" t="s">
        <v>26</v>
      </c>
      <c r="G274" s="3" t="s">
        <v>10</v>
      </c>
      <c r="H274" s="3" t="s">
        <v>6</v>
      </c>
      <c r="I274" s="9"/>
    </row>
    <row r="275" spans="2:9" ht="12.75">
      <c r="B275" s="3" t="s">
        <v>2</v>
      </c>
      <c r="C275" s="3" t="s">
        <v>2</v>
      </c>
      <c r="D275" s="3" t="s">
        <v>2</v>
      </c>
      <c r="E275" s="3" t="s">
        <v>2</v>
      </c>
      <c r="F275" s="3" t="s">
        <v>2</v>
      </c>
      <c r="G275" s="3" t="s">
        <v>2</v>
      </c>
      <c r="H275" s="3" t="s">
        <v>2</v>
      </c>
      <c r="I275" s="21" t="s">
        <v>7</v>
      </c>
    </row>
    <row r="276" ht="12.75">
      <c r="A276" s="4" t="s">
        <v>0</v>
      </c>
    </row>
    <row r="277" spans="1:9" ht="12.75">
      <c r="A277" s="6">
        <v>1</v>
      </c>
      <c r="B277" s="5">
        <v>2.5</v>
      </c>
      <c r="C277" s="5">
        <v>2</v>
      </c>
      <c r="D277" s="5">
        <v>3</v>
      </c>
      <c r="E277" s="5">
        <v>4</v>
      </c>
      <c r="F277" s="5">
        <v>3</v>
      </c>
      <c r="G277" s="5">
        <v>1.5</v>
      </c>
      <c r="H277" s="5">
        <v>4.25</v>
      </c>
      <c r="I277" s="10">
        <f aca="true" t="shared" si="73" ref="I277:I284">AVERAGE(B277:H277)</f>
        <v>2.892857142857143</v>
      </c>
    </row>
    <row r="278" spans="1:9" ht="12.75">
      <c r="A278" s="6">
        <v>10</v>
      </c>
      <c r="B278" s="5">
        <v>3</v>
      </c>
      <c r="C278" s="5">
        <v>2.5</v>
      </c>
      <c r="D278" s="5">
        <v>3.25</v>
      </c>
      <c r="E278" s="5">
        <v>4.25</v>
      </c>
      <c r="F278" s="5">
        <v>3.75</v>
      </c>
      <c r="G278" s="5">
        <v>2</v>
      </c>
      <c r="H278" s="5">
        <v>4.5</v>
      </c>
      <c r="I278" s="10">
        <f t="shared" si="73"/>
        <v>3.3214285714285716</v>
      </c>
    </row>
    <row r="279" spans="1:9" ht="12.75">
      <c r="A279" s="6">
        <v>100</v>
      </c>
      <c r="B279" s="5">
        <v>3.5</v>
      </c>
      <c r="C279" s="5">
        <v>3</v>
      </c>
      <c r="D279" s="5">
        <v>3.75</v>
      </c>
      <c r="E279" s="5">
        <v>4.75</v>
      </c>
      <c r="F279" s="5">
        <v>4</v>
      </c>
      <c r="G279" s="5">
        <v>2.5</v>
      </c>
      <c r="H279" s="5">
        <v>5</v>
      </c>
      <c r="I279" s="10">
        <f t="shared" si="73"/>
        <v>3.7857142857142856</v>
      </c>
    </row>
    <row r="280" spans="1:9" ht="12.75">
      <c r="A280" s="6">
        <v>1000</v>
      </c>
      <c r="B280" s="5">
        <v>4</v>
      </c>
      <c r="C280" s="5">
        <v>3.75</v>
      </c>
      <c r="D280" s="5">
        <v>4.25</v>
      </c>
      <c r="E280" s="5">
        <v>5</v>
      </c>
      <c r="F280" s="5">
        <v>4.75</v>
      </c>
      <c r="G280" s="5">
        <v>3.25</v>
      </c>
      <c r="H280" s="5">
        <v>5.25</v>
      </c>
      <c r="I280" s="10">
        <f t="shared" si="73"/>
        <v>4.321428571428571</v>
      </c>
    </row>
    <row r="281" spans="1:9" ht="12.75">
      <c r="A281" s="6">
        <v>10000</v>
      </c>
      <c r="B281" s="5">
        <v>4.5</v>
      </c>
      <c r="C281" s="5">
        <v>4</v>
      </c>
      <c r="D281" s="5">
        <v>4.75</v>
      </c>
      <c r="E281" s="5">
        <v>5.5</v>
      </c>
      <c r="F281" s="5">
        <v>5.25</v>
      </c>
      <c r="G281" s="5">
        <v>3.75</v>
      </c>
      <c r="H281" s="5">
        <v>5.5</v>
      </c>
      <c r="I281" s="10">
        <f t="shared" si="73"/>
        <v>4.75</v>
      </c>
    </row>
    <row r="282" spans="1:9" ht="12.75">
      <c r="A282" s="6">
        <v>100000</v>
      </c>
      <c r="B282" s="5">
        <v>4</v>
      </c>
      <c r="C282" s="5">
        <v>3.5</v>
      </c>
      <c r="D282" s="5">
        <v>4.25</v>
      </c>
      <c r="E282" s="5">
        <v>5.25</v>
      </c>
      <c r="F282" s="5">
        <v>5</v>
      </c>
      <c r="G282" s="5">
        <v>3.25</v>
      </c>
      <c r="H282" s="5">
        <v>5.75</v>
      </c>
      <c r="I282" s="10">
        <f t="shared" si="73"/>
        <v>4.428571428571429</v>
      </c>
    </row>
    <row r="283" spans="1:9" ht="12.75">
      <c r="A283" s="6">
        <v>1000000</v>
      </c>
      <c r="B283" s="5">
        <v>3.75</v>
      </c>
      <c r="C283" s="5">
        <v>3.25</v>
      </c>
      <c r="D283" s="5">
        <v>4</v>
      </c>
      <c r="E283" s="5">
        <v>5</v>
      </c>
      <c r="F283" s="5">
        <v>4</v>
      </c>
      <c r="G283" s="5">
        <v>2.75</v>
      </c>
      <c r="H283" s="5">
        <v>5.25</v>
      </c>
      <c r="I283" s="10">
        <f t="shared" si="73"/>
        <v>4</v>
      </c>
    </row>
    <row r="284" spans="1:9" ht="12.75">
      <c r="A284" s="3" t="s">
        <v>7</v>
      </c>
      <c r="B284" s="10">
        <f aca="true" t="shared" si="74" ref="B284:H284">AVERAGE(B277:B283)</f>
        <v>3.607142857142857</v>
      </c>
      <c r="C284" s="10">
        <f t="shared" si="74"/>
        <v>3.142857142857143</v>
      </c>
      <c r="D284" s="10">
        <f t="shared" si="74"/>
        <v>3.892857142857143</v>
      </c>
      <c r="E284" s="10">
        <f t="shared" si="74"/>
        <v>4.821428571428571</v>
      </c>
      <c r="F284" s="10">
        <f t="shared" si="74"/>
        <v>4.25</v>
      </c>
      <c r="G284" s="10">
        <f t="shared" si="74"/>
        <v>2.7142857142857144</v>
      </c>
      <c r="H284" s="10">
        <f t="shared" si="74"/>
        <v>5.071428571428571</v>
      </c>
      <c r="I284" s="10">
        <f t="shared" si="73"/>
        <v>3.9285714285714284</v>
      </c>
    </row>
    <row r="285" spans="1:9" ht="12.75">
      <c r="A285" s="3"/>
      <c r="B285" s="10"/>
      <c r="C285" s="10"/>
      <c r="D285" s="10"/>
      <c r="E285" s="10"/>
      <c r="F285" s="10"/>
      <c r="G285" s="10"/>
      <c r="H285" s="10"/>
      <c r="I285" s="10"/>
    </row>
    <row r="286" spans="1:9" ht="12.75">
      <c r="A286" s="3"/>
      <c r="B286" s="10"/>
      <c r="C286" s="10"/>
      <c r="D286" s="10"/>
      <c r="E286" s="10"/>
      <c r="F286" s="10"/>
      <c r="G286" s="10"/>
      <c r="H286" s="10"/>
      <c r="I286" s="10"/>
    </row>
    <row r="287" spans="1:9" ht="12.75">
      <c r="A287" s="45" t="s">
        <v>350</v>
      </c>
      <c r="B287" s="10"/>
      <c r="C287" s="10"/>
      <c r="D287" s="10"/>
      <c r="E287" s="10"/>
      <c r="F287" s="10"/>
      <c r="G287" s="10"/>
      <c r="H287" s="10"/>
      <c r="I287" s="10"/>
    </row>
    <row r="288" spans="1:9" ht="12.75">
      <c r="A288" s="44" t="s">
        <v>292</v>
      </c>
      <c r="B288" s="10"/>
      <c r="C288" s="10"/>
      <c r="D288" s="10"/>
      <c r="E288" s="10"/>
      <c r="F288" s="10"/>
      <c r="G288" s="10"/>
      <c r="H288" s="10"/>
      <c r="I288" s="10"/>
    </row>
    <row r="289" spans="1:9" ht="12.75">
      <c r="A289" s="44" t="s">
        <v>351</v>
      </c>
      <c r="B289" s="10"/>
      <c r="C289" s="10"/>
      <c r="D289" s="10"/>
      <c r="E289" s="10"/>
      <c r="F289" s="10"/>
      <c r="G289" s="10"/>
      <c r="H289" s="10"/>
      <c r="I289" s="10"/>
    </row>
    <row r="290" spans="1:9" ht="12.75">
      <c r="A290" s="44"/>
      <c r="B290" s="10"/>
      <c r="C290" s="10"/>
      <c r="D290" s="10"/>
      <c r="E290" s="10"/>
      <c r="F290" s="10"/>
      <c r="G290" s="10"/>
      <c r="H290" s="10"/>
      <c r="I290" s="10"/>
    </row>
    <row r="291" spans="2:9" ht="12.75">
      <c r="B291" s="3"/>
      <c r="C291" s="3"/>
      <c r="D291" s="3" t="s">
        <v>41</v>
      </c>
      <c r="E291" s="3" t="s">
        <v>14</v>
      </c>
      <c r="F291" s="3"/>
      <c r="G291" s="3" t="s">
        <v>9</v>
      </c>
      <c r="H291" s="3"/>
      <c r="I291" s="9"/>
    </row>
    <row r="292" spans="2:9" ht="12.75">
      <c r="B292" s="3" t="s">
        <v>1</v>
      </c>
      <c r="C292" s="3" t="s">
        <v>3</v>
      </c>
      <c r="D292" s="3" t="s">
        <v>4</v>
      </c>
      <c r="E292" s="3" t="s">
        <v>5</v>
      </c>
      <c r="F292" s="3" t="s">
        <v>26</v>
      </c>
      <c r="G292" s="3" t="s">
        <v>10</v>
      </c>
      <c r="H292" s="3" t="s">
        <v>6</v>
      </c>
      <c r="I292" s="9"/>
    </row>
    <row r="293" spans="2:9" ht="12.75">
      <c r="B293" s="3" t="s">
        <v>2</v>
      </c>
      <c r="C293" s="3" t="s">
        <v>2</v>
      </c>
      <c r="D293" s="3" t="s">
        <v>2</v>
      </c>
      <c r="E293" s="3" t="s">
        <v>2</v>
      </c>
      <c r="F293" s="3" t="s">
        <v>2</v>
      </c>
      <c r="G293" s="3" t="s">
        <v>2</v>
      </c>
      <c r="H293" s="3" t="s">
        <v>2</v>
      </c>
      <c r="I293" s="21" t="s">
        <v>7</v>
      </c>
    </row>
    <row r="294" ht="12.75">
      <c r="A294" s="4" t="s">
        <v>0</v>
      </c>
    </row>
    <row r="295" spans="1:9" ht="12.75">
      <c r="A295" s="6">
        <v>1</v>
      </c>
      <c r="B295" s="25">
        <f aca="true" t="shared" si="75" ref="B295:H295">1*B277</f>
        <v>2.5</v>
      </c>
      <c r="C295" s="25">
        <f t="shared" si="75"/>
        <v>2</v>
      </c>
      <c r="D295" s="25">
        <f t="shared" si="75"/>
        <v>3</v>
      </c>
      <c r="E295" s="25">
        <f t="shared" si="75"/>
        <v>4</v>
      </c>
      <c r="F295" s="25">
        <f t="shared" si="75"/>
        <v>3</v>
      </c>
      <c r="G295" s="25">
        <f t="shared" si="75"/>
        <v>1.5</v>
      </c>
      <c r="H295" s="25">
        <f t="shared" si="75"/>
        <v>4.25</v>
      </c>
      <c r="I295" s="25">
        <f aca="true" t="shared" si="76" ref="I295:I301">AVERAGE(B295:H295)</f>
        <v>2.892857142857143</v>
      </c>
    </row>
    <row r="296" spans="1:9" ht="12.75">
      <c r="A296" s="6">
        <v>10</v>
      </c>
      <c r="B296" s="25">
        <f aca="true" t="shared" si="77" ref="B296:H296">10*B278</f>
        <v>30</v>
      </c>
      <c r="C296" s="25">
        <f t="shared" si="77"/>
        <v>25</v>
      </c>
      <c r="D296" s="25">
        <f t="shared" si="77"/>
        <v>32.5</v>
      </c>
      <c r="E296" s="25">
        <f t="shared" si="77"/>
        <v>42.5</v>
      </c>
      <c r="F296" s="25">
        <f t="shared" si="77"/>
        <v>37.5</v>
      </c>
      <c r="G296" s="25">
        <f t="shared" si="77"/>
        <v>20</v>
      </c>
      <c r="H296" s="25">
        <f t="shared" si="77"/>
        <v>45</v>
      </c>
      <c r="I296" s="25">
        <f t="shared" si="76"/>
        <v>33.214285714285715</v>
      </c>
    </row>
    <row r="297" spans="1:9" ht="12.75">
      <c r="A297" s="6">
        <v>100</v>
      </c>
      <c r="B297" s="25">
        <f aca="true" t="shared" si="78" ref="B297:H297">100*B279</f>
        <v>350</v>
      </c>
      <c r="C297" s="25">
        <f t="shared" si="78"/>
        <v>300</v>
      </c>
      <c r="D297" s="25">
        <f t="shared" si="78"/>
        <v>375</v>
      </c>
      <c r="E297" s="25">
        <f t="shared" si="78"/>
        <v>475</v>
      </c>
      <c r="F297" s="25">
        <f t="shared" si="78"/>
        <v>400</v>
      </c>
      <c r="G297" s="25">
        <f t="shared" si="78"/>
        <v>250</v>
      </c>
      <c r="H297" s="25">
        <f t="shared" si="78"/>
        <v>500</v>
      </c>
      <c r="I297" s="25">
        <f t="shared" si="76"/>
        <v>378.57142857142856</v>
      </c>
    </row>
    <row r="298" spans="1:9" ht="12.75">
      <c r="A298" s="6">
        <v>1000</v>
      </c>
      <c r="B298" s="25">
        <f aca="true" t="shared" si="79" ref="B298:H298">1000*B280</f>
        <v>4000</v>
      </c>
      <c r="C298" s="25">
        <f t="shared" si="79"/>
        <v>3750</v>
      </c>
      <c r="D298" s="25">
        <f t="shared" si="79"/>
        <v>4250</v>
      </c>
      <c r="E298" s="25">
        <f t="shared" si="79"/>
        <v>5000</v>
      </c>
      <c r="F298" s="25">
        <f t="shared" si="79"/>
        <v>4750</v>
      </c>
      <c r="G298" s="25">
        <f t="shared" si="79"/>
        <v>3250</v>
      </c>
      <c r="H298" s="25">
        <f t="shared" si="79"/>
        <v>5250</v>
      </c>
      <c r="I298" s="25">
        <f t="shared" si="76"/>
        <v>4321.428571428572</v>
      </c>
    </row>
    <row r="299" spans="1:9" ht="12.75">
      <c r="A299" s="6">
        <v>10000</v>
      </c>
      <c r="B299" s="25">
        <f aca="true" t="shared" si="80" ref="B299:H299">10000*B281</f>
        <v>45000</v>
      </c>
      <c r="C299" s="25">
        <f t="shared" si="80"/>
        <v>40000</v>
      </c>
      <c r="D299" s="25">
        <f t="shared" si="80"/>
        <v>47500</v>
      </c>
      <c r="E299" s="25">
        <f t="shared" si="80"/>
        <v>55000</v>
      </c>
      <c r="F299" s="25">
        <f t="shared" si="80"/>
        <v>52500</v>
      </c>
      <c r="G299" s="25">
        <f t="shared" si="80"/>
        <v>37500</v>
      </c>
      <c r="H299" s="25">
        <f t="shared" si="80"/>
        <v>55000</v>
      </c>
      <c r="I299" s="25">
        <f t="shared" si="76"/>
        <v>47500</v>
      </c>
    </row>
    <row r="300" spans="1:9" ht="12.75">
      <c r="A300" s="6">
        <v>100000</v>
      </c>
      <c r="B300" s="25">
        <f aca="true" t="shared" si="81" ref="B300:H300">100000*B282</f>
        <v>400000</v>
      </c>
      <c r="C300" s="25">
        <f t="shared" si="81"/>
        <v>350000</v>
      </c>
      <c r="D300" s="25">
        <f t="shared" si="81"/>
        <v>425000</v>
      </c>
      <c r="E300" s="25">
        <f t="shared" si="81"/>
        <v>525000</v>
      </c>
      <c r="F300" s="25">
        <f t="shared" si="81"/>
        <v>500000</v>
      </c>
      <c r="G300" s="25">
        <f t="shared" si="81"/>
        <v>325000</v>
      </c>
      <c r="H300" s="25">
        <f t="shared" si="81"/>
        <v>575000</v>
      </c>
      <c r="I300" s="25">
        <f t="shared" si="76"/>
        <v>442857.14285714284</v>
      </c>
    </row>
    <row r="301" spans="1:9" ht="12.75">
      <c r="A301" s="6">
        <v>1000000</v>
      </c>
      <c r="B301" s="25">
        <f aca="true" t="shared" si="82" ref="B301:H301">1000000*B283</f>
        <v>3750000</v>
      </c>
      <c r="C301" s="25">
        <f t="shared" si="82"/>
        <v>3250000</v>
      </c>
      <c r="D301" s="25">
        <f t="shared" si="82"/>
        <v>4000000</v>
      </c>
      <c r="E301" s="25">
        <f t="shared" si="82"/>
        <v>5000000</v>
      </c>
      <c r="F301" s="25">
        <f t="shared" si="82"/>
        <v>4000000</v>
      </c>
      <c r="G301" s="25">
        <f t="shared" si="82"/>
        <v>2750000</v>
      </c>
      <c r="H301" s="25">
        <f t="shared" si="82"/>
        <v>5250000</v>
      </c>
      <c r="I301" s="25">
        <f t="shared" si="76"/>
        <v>4000000</v>
      </c>
    </row>
    <row r="302" spans="1:9" ht="12.75">
      <c r="A302" s="3" t="s">
        <v>7</v>
      </c>
      <c r="B302" s="25">
        <f aca="true" t="shared" si="83" ref="B302:I302">AVERAGE(B295:B301)</f>
        <v>599911.7857142857</v>
      </c>
      <c r="C302" s="25">
        <f t="shared" si="83"/>
        <v>520582.4285714286</v>
      </c>
      <c r="D302" s="25">
        <f t="shared" si="83"/>
        <v>639594.3571428572</v>
      </c>
      <c r="E302" s="25">
        <f t="shared" si="83"/>
        <v>797931.6428571428</v>
      </c>
      <c r="F302" s="25">
        <f t="shared" si="83"/>
        <v>651098.6428571428</v>
      </c>
      <c r="G302" s="25">
        <f t="shared" si="83"/>
        <v>445145.9285714286</v>
      </c>
      <c r="H302" s="25">
        <f t="shared" si="83"/>
        <v>840828.4642857143</v>
      </c>
      <c r="I302" s="25">
        <f t="shared" si="83"/>
        <v>642156.1785714285</v>
      </c>
    </row>
    <row r="303" spans="1:9" ht="12.75">
      <c r="A303" s="3"/>
      <c r="B303" s="10"/>
      <c r="C303" s="10"/>
      <c r="D303" s="10"/>
      <c r="E303" s="10"/>
      <c r="F303" s="10"/>
      <c r="G303" s="10"/>
      <c r="H303" s="10"/>
      <c r="I303" s="10"/>
    </row>
    <row r="304" spans="1:9" ht="12.75">
      <c r="A304" s="3"/>
      <c r="B304" s="10"/>
      <c r="C304" s="10"/>
      <c r="D304" s="10"/>
      <c r="E304" s="10"/>
      <c r="F304" s="10"/>
      <c r="G304" s="10"/>
      <c r="H304" s="10"/>
      <c r="I304" s="10"/>
    </row>
    <row r="305" spans="1:9" ht="12.75">
      <c r="A305" s="45" t="s">
        <v>352</v>
      </c>
      <c r="B305" s="10"/>
      <c r="C305" s="10"/>
      <c r="D305" s="10"/>
      <c r="E305" s="10"/>
      <c r="F305" s="10"/>
      <c r="G305" s="10"/>
      <c r="H305" s="10"/>
      <c r="I305" s="10"/>
    </row>
    <row r="306" spans="1:9" ht="12.75">
      <c r="A306" s="44" t="s">
        <v>293</v>
      </c>
      <c r="B306" s="10"/>
      <c r="C306" s="10"/>
      <c r="D306" s="10"/>
      <c r="E306" s="10"/>
      <c r="F306" s="10"/>
      <c r="G306" s="10"/>
      <c r="H306" s="10"/>
      <c r="I306" s="10"/>
    </row>
    <row r="307" spans="1:9" ht="12.75">
      <c r="A307" s="3"/>
      <c r="B307" s="10"/>
      <c r="C307" s="10"/>
      <c r="D307" s="10"/>
      <c r="E307" s="10"/>
      <c r="F307" s="10"/>
      <c r="G307" s="10"/>
      <c r="H307" s="10"/>
      <c r="I307" s="10"/>
    </row>
    <row r="308" spans="2:9" ht="12.75">
      <c r="B308" s="3"/>
      <c r="C308" s="3"/>
      <c r="D308" s="3" t="s">
        <v>41</v>
      </c>
      <c r="E308" s="3" t="s">
        <v>14</v>
      </c>
      <c r="F308" s="3"/>
      <c r="G308" s="3" t="s">
        <v>9</v>
      </c>
      <c r="H308" s="3"/>
      <c r="I308" s="9"/>
    </row>
    <row r="309" spans="2:9" ht="12.75">
      <c r="B309" s="3" t="s">
        <v>1</v>
      </c>
      <c r="C309" s="3" t="s">
        <v>3</v>
      </c>
      <c r="D309" s="3" t="s">
        <v>4</v>
      </c>
      <c r="E309" s="3" t="s">
        <v>5</v>
      </c>
      <c r="F309" s="3" t="s">
        <v>26</v>
      </c>
      <c r="G309" s="3" t="s">
        <v>10</v>
      </c>
      <c r="H309" s="3" t="s">
        <v>6</v>
      </c>
      <c r="I309" s="9"/>
    </row>
    <row r="310" spans="2:9" ht="12.75">
      <c r="B310" s="3" t="s">
        <v>2</v>
      </c>
      <c r="C310" s="3" t="s">
        <v>2</v>
      </c>
      <c r="D310" s="3" t="s">
        <v>2</v>
      </c>
      <c r="E310" s="3" t="s">
        <v>2</v>
      </c>
      <c r="F310" s="3" t="s">
        <v>2</v>
      </c>
      <c r="G310" s="3" t="s">
        <v>2</v>
      </c>
      <c r="H310" s="3" t="s">
        <v>2</v>
      </c>
      <c r="I310" s="21" t="s">
        <v>7</v>
      </c>
    </row>
    <row r="311" ht="12.75">
      <c r="A311" s="4" t="s">
        <v>0</v>
      </c>
    </row>
    <row r="312" spans="1:9" ht="12.75">
      <c r="A312" s="6">
        <v>1</v>
      </c>
      <c r="B312" s="26">
        <v>0.1</v>
      </c>
      <c r="C312" s="26">
        <v>0.08</v>
      </c>
      <c r="D312" s="26">
        <v>0.09</v>
      </c>
      <c r="E312" s="26">
        <v>0.075</v>
      </c>
      <c r="F312" s="26">
        <v>0.125</v>
      </c>
      <c r="G312" s="26">
        <v>0.15</v>
      </c>
      <c r="H312" s="26">
        <v>0.075</v>
      </c>
      <c r="I312" s="27">
        <f aca="true" t="shared" si="84" ref="I312:I319">AVERAGE(B312:H312)</f>
        <v>0.09928571428571428</v>
      </c>
    </row>
    <row r="313" spans="1:9" ht="12.75">
      <c r="A313" s="6">
        <v>10</v>
      </c>
      <c r="B313" s="26">
        <v>0.15</v>
      </c>
      <c r="C313" s="26">
        <v>0.125</v>
      </c>
      <c r="D313" s="26">
        <v>0.125</v>
      </c>
      <c r="E313" s="26">
        <v>0.125</v>
      </c>
      <c r="F313" s="26">
        <v>0.15</v>
      </c>
      <c r="G313" s="26">
        <v>0.175</v>
      </c>
      <c r="H313" s="26">
        <v>0.125</v>
      </c>
      <c r="I313" s="27">
        <f t="shared" si="84"/>
        <v>0.1392857142857143</v>
      </c>
    </row>
    <row r="314" spans="1:9" ht="12.75">
      <c r="A314" s="6">
        <v>100</v>
      </c>
      <c r="B314" s="26">
        <v>0.2</v>
      </c>
      <c r="C314" s="26">
        <v>0.15</v>
      </c>
      <c r="D314" s="26">
        <v>0.175</v>
      </c>
      <c r="E314" s="26">
        <v>0.15</v>
      </c>
      <c r="F314" s="26">
        <v>0.2</v>
      </c>
      <c r="G314" s="26">
        <v>0.225</v>
      </c>
      <c r="H314" s="26">
        <v>0.15</v>
      </c>
      <c r="I314" s="27">
        <f t="shared" si="84"/>
        <v>0.17857142857142858</v>
      </c>
    </row>
    <row r="315" spans="1:9" ht="12.75">
      <c r="A315" s="6">
        <v>1000</v>
      </c>
      <c r="B315" s="26">
        <v>0.3</v>
      </c>
      <c r="C315" s="26">
        <v>0.25</v>
      </c>
      <c r="D315" s="26">
        <v>0.25</v>
      </c>
      <c r="E315" s="26">
        <v>0.2</v>
      </c>
      <c r="F315" s="26">
        <v>0.225</v>
      </c>
      <c r="G315" s="26">
        <v>0.35</v>
      </c>
      <c r="H315" s="26">
        <v>0.225</v>
      </c>
      <c r="I315" s="27">
        <f t="shared" si="84"/>
        <v>0.2571428571428572</v>
      </c>
    </row>
    <row r="316" spans="1:9" ht="12.75">
      <c r="A316" s="6">
        <v>10000</v>
      </c>
      <c r="B316" s="26">
        <v>0.4</v>
      </c>
      <c r="C316" s="26">
        <v>0.35</v>
      </c>
      <c r="D316" s="26">
        <v>0.35</v>
      </c>
      <c r="E316" s="26">
        <v>0.25</v>
      </c>
      <c r="F316" s="26">
        <v>0.375</v>
      </c>
      <c r="G316" s="26">
        <v>0.45</v>
      </c>
      <c r="H316" s="26">
        <v>0.275</v>
      </c>
      <c r="I316" s="27">
        <f t="shared" si="84"/>
        <v>0.35000000000000003</v>
      </c>
    </row>
    <row r="317" spans="1:9" ht="12.75">
      <c r="A317" s="6">
        <v>100000</v>
      </c>
      <c r="B317" s="26">
        <v>0.45</v>
      </c>
      <c r="C317" s="26">
        <v>0.4</v>
      </c>
      <c r="D317" s="26">
        <v>0.4</v>
      </c>
      <c r="E317" s="26">
        <v>0.3</v>
      </c>
      <c r="F317" s="26">
        <v>0.4</v>
      </c>
      <c r="G317" s="26">
        <v>0.55</v>
      </c>
      <c r="H317" s="26">
        <v>0.35</v>
      </c>
      <c r="I317" s="27">
        <f t="shared" si="84"/>
        <v>0.40714285714285714</v>
      </c>
    </row>
    <row r="318" spans="1:9" ht="12.75">
      <c r="A318" s="7">
        <v>1000000</v>
      </c>
      <c r="B318" s="26">
        <v>0.5</v>
      </c>
      <c r="C318" s="26">
        <v>0.45</v>
      </c>
      <c r="D318" s="26">
        <v>0.475</v>
      </c>
      <c r="E318" s="26">
        <v>0.4</v>
      </c>
      <c r="F318" s="26">
        <v>0.45</v>
      </c>
      <c r="G318" s="26">
        <v>0.6</v>
      </c>
      <c r="H318" s="26">
        <v>0.425</v>
      </c>
      <c r="I318" s="27">
        <f t="shared" si="84"/>
        <v>0.4714285714285714</v>
      </c>
    </row>
    <row r="319" spans="1:9" ht="12.75">
      <c r="A319" s="9" t="s">
        <v>7</v>
      </c>
      <c r="B319" s="27">
        <f aca="true" t="shared" si="85" ref="B319:H319">AVERAGE(B312:B318)</f>
        <v>0.29999999999999993</v>
      </c>
      <c r="C319" s="27">
        <f t="shared" si="85"/>
        <v>0.25785714285714284</v>
      </c>
      <c r="D319" s="27">
        <f t="shared" si="85"/>
        <v>0.26642857142857146</v>
      </c>
      <c r="E319" s="27">
        <f t="shared" si="85"/>
        <v>0.21428571428571427</v>
      </c>
      <c r="F319" s="27">
        <f t="shared" si="85"/>
        <v>0.275</v>
      </c>
      <c r="G319" s="27">
        <f t="shared" si="85"/>
        <v>0.35714285714285715</v>
      </c>
      <c r="H319" s="27">
        <f t="shared" si="85"/>
        <v>0.23214285714285715</v>
      </c>
      <c r="I319" s="27">
        <f t="shared" si="84"/>
        <v>0.2718367346938776</v>
      </c>
    </row>
    <row r="320" spans="1:9" ht="12.75">
      <c r="A320" s="3"/>
      <c r="B320" s="10"/>
      <c r="C320" s="10"/>
      <c r="D320" s="10"/>
      <c r="E320" s="10"/>
      <c r="F320" s="10"/>
      <c r="G320" s="10"/>
      <c r="H320" s="10"/>
      <c r="I320" s="10"/>
    </row>
    <row r="321" spans="1:9" ht="12.75">
      <c r="A321" s="3"/>
      <c r="B321" s="10"/>
      <c r="C321" s="10"/>
      <c r="D321" s="10"/>
      <c r="E321" s="10"/>
      <c r="F321" s="10"/>
      <c r="G321" s="10"/>
      <c r="H321" s="10"/>
      <c r="I321" s="10"/>
    </row>
    <row r="322" ht="12.75">
      <c r="A322" s="1" t="s">
        <v>353</v>
      </c>
    </row>
    <row r="323" ht="12.75">
      <c r="A323" t="s">
        <v>69</v>
      </c>
    </row>
    <row r="324" ht="12.75">
      <c r="A324" t="s">
        <v>73</v>
      </c>
    </row>
    <row r="326" spans="2:9" ht="12.75">
      <c r="B326" s="3"/>
      <c r="C326" s="3"/>
      <c r="D326" s="3" t="s">
        <v>41</v>
      </c>
      <c r="E326" s="3" t="s">
        <v>14</v>
      </c>
      <c r="F326" s="3"/>
      <c r="G326" s="3" t="s">
        <v>9</v>
      </c>
      <c r="H326" s="3"/>
      <c r="I326" s="9"/>
    </row>
    <row r="327" spans="2:9" ht="12.75">
      <c r="B327" s="3" t="s">
        <v>1</v>
      </c>
      <c r="C327" s="3" t="s">
        <v>3</v>
      </c>
      <c r="D327" s="3" t="s">
        <v>4</v>
      </c>
      <c r="E327" s="3" t="s">
        <v>5</v>
      </c>
      <c r="F327" s="3" t="s">
        <v>26</v>
      </c>
      <c r="G327" s="3" t="s">
        <v>10</v>
      </c>
      <c r="H327" s="3" t="s">
        <v>6</v>
      </c>
      <c r="I327" s="9"/>
    </row>
    <row r="328" spans="2:9" ht="12.75">
      <c r="B328" s="3" t="s">
        <v>2</v>
      </c>
      <c r="C328" s="3" t="s">
        <v>2</v>
      </c>
      <c r="D328" s="3" t="s">
        <v>2</v>
      </c>
      <c r="E328" s="3" t="s">
        <v>2</v>
      </c>
      <c r="F328" s="3" t="s">
        <v>2</v>
      </c>
      <c r="G328" s="3" t="s">
        <v>2</v>
      </c>
      <c r="H328" s="3" t="s">
        <v>2</v>
      </c>
      <c r="I328" s="21" t="s">
        <v>7</v>
      </c>
    </row>
    <row r="329" ht="12.75">
      <c r="A329" s="4" t="s">
        <v>0</v>
      </c>
    </row>
    <row r="330" spans="1:9" ht="12.75">
      <c r="A330" s="6">
        <v>1</v>
      </c>
      <c r="B330" s="42">
        <f aca="true" t="shared" si="86" ref="B330:H336">(SQRT(B189-B242))^0.45</f>
        <v>0.2315370700553248</v>
      </c>
      <c r="C330" s="42">
        <f t="shared" si="86"/>
        <v>0.26427546578080185</v>
      </c>
      <c r="D330" s="42">
        <f t="shared" si="86"/>
        <v>0.18840135907004124</v>
      </c>
      <c r="E330" s="42">
        <f t="shared" si="86"/>
        <v>0.11800184134774805</v>
      </c>
      <c r="F330" s="42">
        <f t="shared" si="86"/>
        <v>0.28454898135779505</v>
      </c>
      <c r="G330" s="42">
        <f t="shared" si="86"/>
        <v>0.3587299130732988</v>
      </c>
      <c r="H330" s="42">
        <f t="shared" si="86"/>
        <v>0.16119526565216924</v>
      </c>
      <c r="I330" s="42">
        <f aca="true" t="shared" si="87" ref="I330:I336">AVERAGE(B330:H330)</f>
        <v>0.2295271280481684</v>
      </c>
    </row>
    <row r="331" spans="1:9" ht="12.75">
      <c r="A331" s="6">
        <v>10</v>
      </c>
      <c r="B331" s="42">
        <f t="shared" si="86"/>
        <v>0.49770593040206335</v>
      </c>
      <c r="C331" s="42">
        <f t="shared" si="86"/>
        <v>0.5956621435290106</v>
      </c>
      <c r="D331" s="42">
        <f t="shared" si="86"/>
        <v>0.43206345025077425</v>
      </c>
      <c r="E331" s="42">
        <f t="shared" si="86"/>
        <v>0.3548133892335756</v>
      </c>
      <c r="F331" s="42">
        <f t="shared" si="86"/>
        <v>0.6296833982402982</v>
      </c>
      <c r="G331" s="42">
        <f t="shared" si="86"/>
        <v>0.833663398330085</v>
      </c>
      <c r="H331" s="42">
        <f t="shared" si="86"/>
        <v>0.5011486278870201</v>
      </c>
      <c r="I331" s="42">
        <f t="shared" si="87"/>
        <v>0.5492486196961182</v>
      </c>
    </row>
    <row r="332" spans="1:9" ht="12.75">
      <c r="A332" s="6">
        <v>100</v>
      </c>
      <c r="B332" s="42">
        <f t="shared" si="86"/>
        <v>1.3134886895014362</v>
      </c>
      <c r="C332" s="42">
        <f t="shared" si="86"/>
        <v>1.3256085909514521</v>
      </c>
      <c r="D332" s="42">
        <f t="shared" si="86"/>
        <v>1.0955205619292947</v>
      </c>
      <c r="E332" s="42">
        <f t="shared" si="86"/>
        <v>0.8914234023404394</v>
      </c>
      <c r="F332" s="42">
        <f t="shared" si="86"/>
        <v>1.5909494343758934</v>
      </c>
      <c r="G332" s="42">
        <f t="shared" si="86"/>
        <v>1.776868028335658</v>
      </c>
      <c r="H332" s="42">
        <f t="shared" si="86"/>
        <v>1.1580912397602496</v>
      </c>
      <c r="I332" s="42">
        <f t="shared" si="87"/>
        <v>1.3074214210277748</v>
      </c>
    </row>
    <row r="333" spans="1:9" ht="12.75">
      <c r="A333" s="6">
        <v>1000</v>
      </c>
      <c r="B333" s="42">
        <f t="shared" si="86"/>
        <v>3.5819849054534654</v>
      </c>
      <c r="C333" s="42">
        <f t="shared" si="86"/>
        <v>3.1013842134966874</v>
      </c>
      <c r="D333" s="42">
        <f t="shared" si="86"/>
        <v>2.936403819881472</v>
      </c>
      <c r="E333" s="42">
        <f t="shared" si="86"/>
        <v>2.077851154048986</v>
      </c>
      <c r="F333" s="42">
        <f t="shared" si="86"/>
        <v>3.2922071403397757</v>
      </c>
      <c r="G333" s="42">
        <f t="shared" si="86"/>
        <v>3.8013307166183576</v>
      </c>
      <c r="H333" s="42">
        <f t="shared" si="86"/>
        <v>2.6743187291896846</v>
      </c>
      <c r="I333" s="42">
        <f t="shared" si="87"/>
        <v>3.0664972398612043</v>
      </c>
    </row>
    <row r="334" spans="1:9" ht="12.75">
      <c r="A334" s="6">
        <v>10000</v>
      </c>
      <c r="B334" s="42">
        <f t="shared" si="86"/>
        <v>7.365781969677972</v>
      </c>
      <c r="C334" s="42">
        <f t="shared" si="86"/>
        <v>7.075510281786311</v>
      </c>
      <c r="D334" s="42">
        <f t="shared" si="86"/>
        <v>6.34136720464273</v>
      </c>
      <c r="E334" s="42">
        <f t="shared" si="86"/>
        <v>5.0300504996585556</v>
      </c>
      <c r="F334" s="42">
        <f t="shared" si="86"/>
        <v>6.718884835959959</v>
      </c>
      <c r="G334" s="42">
        <f t="shared" si="86"/>
        <v>8.184819262521925</v>
      </c>
      <c r="H334" s="42">
        <f t="shared" si="86"/>
        <v>5.240685833549057</v>
      </c>
      <c r="I334" s="42">
        <f t="shared" si="87"/>
        <v>6.565299983970931</v>
      </c>
    </row>
    <row r="335" spans="1:9" ht="12.75">
      <c r="A335" s="6">
        <v>100000</v>
      </c>
      <c r="B335" s="42">
        <f t="shared" si="86"/>
        <v>15.429800996791508</v>
      </c>
      <c r="C335" s="42">
        <f t="shared" si="86"/>
        <v>14.6871666787124</v>
      </c>
      <c r="D335" s="42">
        <f t="shared" si="86"/>
        <v>13.482411937008784</v>
      </c>
      <c r="E335" s="42">
        <f t="shared" si="86"/>
        <v>11.007139946535439</v>
      </c>
      <c r="F335" s="42">
        <f t="shared" si="86"/>
        <v>12.933694786032536</v>
      </c>
      <c r="G335" s="42">
        <f t="shared" si="86"/>
        <v>15.443394886208871</v>
      </c>
      <c r="H335" s="42">
        <f t="shared" si="86"/>
        <v>10.670258823301406</v>
      </c>
      <c r="I335" s="42">
        <f t="shared" si="87"/>
        <v>13.379124007798707</v>
      </c>
    </row>
    <row r="336" spans="1:9" ht="12.75">
      <c r="A336" s="7">
        <v>1000000</v>
      </c>
      <c r="B336" s="42">
        <f t="shared" si="86"/>
        <v>27.940819058145813</v>
      </c>
      <c r="C336" s="42">
        <f t="shared" si="86"/>
        <v>27.2100797927772</v>
      </c>
      <c r="D336" s="42">
        <f t="shared" si="86"/>
        <v>24.757299381044376</v>
      </c>
      <c r="E336" s="42">
        <f t="shared" si="86"/>
        <v>20.614128445700434</v>
      </c>
      <c r="F336" s="42">
        <f t="shared" si="86"/>
        <v>24.31563969049831</v>
      </c>
      <c r="G336" s="42">
        <f t="shared" si="86"/>
        <v>28.908666665918357</v>
      </c>
      <c r="H336" s="42">
        <f t="shared" si="86"/>
        <v>19.84312507667755</v>
      </c>
      <c r="I336" s="42">
        <f t="shared" si="87"/>
        <v>24.798536872966004</v>
      </c>
    </row>
    <row r="337" spans="1:9" ht="12.75">
      <c r="A337" s="9" t="s">
        <v>7</v>
      </c>
      <c r="B337" s="42">
        <f aca="true" t="shared" si="88" ref="B337:I337">AVERAGE(B330:B336)</f>
        <v>8.051588374289654</v>
      </c>
      <c r="C337" s="42">
        <f t="shared" si="88"/>
        <v>7.751383881004837</v>
      </c>
      <c r="D337" s="42">
        <f t="shared" si="88"/>
        <v>7.0333525305467814</v>
      </c>
      <c r="E337" s="42">
        <f t="shared" si="88"/>
        <v>5.727629811266453</v>
      </c>
      <c r="F337" s="42">
        <f t="shared" si="88"/>
        <v>7.109372609543509</v>
      </c>
      <c r="G337" s="42">
        <f t="shared" si="88"/>
        <v>8.472496124429508</v>
      </c>
      <c r="H337" s="42">
        <f t="shared" si="88"/>
        <v>5.749831942288162</v>
      </c>
      <c r="I337" s="42">
        <f t="shared" si="88"/>
        <v>7.127950753338416</v>
      </c>
    </row>
    <row r="340" ht="12.75">
      <c r="A340" s="1" t="s">
        <v>354</v>
      </c>
    </row>
    <row r="341" ht="12.75">
      <c r="A341" s="29" t="s">
        <v>37</v>
      </c>
    </row>
    <row r="343" spans="2:9" ht="12.75">
      <c r="B343" s="3"/>
      <c r="C343" s="3"/>
      <c r="D343" s="3" t="s">
        <v>41</v>
      </c>
      <c r="E343" s="3" t="s">
        <v>14</v>
      </c>
      <c r="F343" s="3"/>
      <c r="G343" s="3" t="s">
        <v>9</v>
      </c>
      <c r="H343" s="3"/>
      <c r="I343" s="9"/>
    </row>
    <row r="344" spans="2:9" ht="12.75">
      <c r="B344" s="3" t="s">
        <v>1</v>
      </c>
      <c r="C344" s="3" t="s">
        <v>3</v>
      </c>
      <c r="D344" s="3" t="s">
        <v>4</v>
      </c>
      <c r="E344" s="3" t="s">
        <v>5</v>
      </c>
      <c r="F344" s="3" t="s">
        <v>26</v>
      </c>
      <c r="G344" s="3" t="s">
        <v>10</v>
      </c>
      <c r="H344" s="3" t="s">
        <v>6</v>
      </c>
      <c r="I344" s="9"/>
    </row>
    <row r="345" spans="2:9" ht="12.75">
      <c r="B345" s="3" t="s">
        <v>2</v>
      </c>
      <c r="C345" s="3" t="s">
        <v>2</v>
      </c>
      <c r="D345" s="3" t="s">
        <v>2</v>
      </c>
      <c r="E345" s="3" t="s">
        <v>2</v>
      </c>
      <c r="F345" s="3" t="s">
        <v>2</v>
      </c>
      <c r="G345" s="3" t="s">
        <v>2</v>
      </c>
      <c r="H345" s="3" t="s">
        <v>2</v>
      </c>
      <c r="I345" s="21" t="s">
        <v>28</v>
      </c>
    </row>
    <row r="346" ht="12.75">
      <c r="A346" s="4" t="s">
        <v>0</v>
      </c>
    </row>
    <row r="347" spans="1:9" ht="12.75">
      <c r="A347" s="7">
        <v>1</v>
      </c>
      <c r="B347" s="6">
        <v>100000</v>
      </c>
      <c r="C347" s="6">
        <v>200000</v>
      </c>
      <c r="D347" s="6">
        <v>70000</v>
      </c>
      <c r="E347" s="6">
        <v>75000</v>
      </c>
      <c r="F347" s="6">
        <v>60000</v>
      </c>
      <c r="G347" s="6">
        <v>55000</v>
      </c>
      <c r="H347" s="6">
        <v>70000</v>
      </c>
      <c r="I347" s="25">
        <f aca="true" t="shared" si="89" ref="I347:I354">SUM(B347:H347)</f>
        <v>630000</v>
      </c>
    </row>
    <row r="348" spans="1:9" ht="12.75">
      <c r="A348" s="6">
        <v>10</v>
      </c>
      <c r="B348" s="6">
        <v>75000</v>
      </c>
      <c r="C348" s="6">
        <v>100000</v>
      </c>
      <c r="D348" s="6">
        <v>40000</v>
      </c>
      <c r="E348" s="6">
        <v>25000</v>
      </c>
      <c r="F348" s="6">
        <v>25000</v>
      </c>
      <c r="G348" s="6">
        <v>20000</v>
      </c>
      <c r="H348" s="6">
        <v>35000</v>
      </c>
      <c r="I348" s="25">
        <f t="shared" si="89"/>
        <v>320000</v>
      </c>
    </row>
    <row r="349" spans="1:9" ht="12.75">
      <c r="A349" s="6">
        <v>100</v>
      </c>
      <c r="B349" s="6">
        <v>25000</v>
      </c>
      <c r="C349" s="6">
        <v>60000</v>
      </c>
      <c r="D349" s="6">
        <v>12500</v>
      </c>
      <c r="E349" s="6">
        <v>10000</v>
      </c>
      <c r="F349" s="6">
        <v>10000</v>
      </c>
      <c r="G349" s="6">
        <v>7500</v>
      </c>
      <c r="H349" s="6">
        <v>6500</v>
      </c>
      <c r="I349" s="25">
        <f t="shared" si="89"/>
        <v>131500</v>
      </c>
    </row>
    <row r="350" spans="1:9" ht="12.75">
      <c r="A350" s="6">
        <v>1000</v>
      </c>
      <c r="B350" s="6">
        <v>10000</v>
      </c>
      <c r="C350" s="6">
        <v>35000</v>
      </c>
      <c r="D350" s="6">
        <v>7000</v>
      </c>
      <c r="E350" s="6">
        <v>5000</v>
      </c>
      <c r="F350" s="6">
        <v>5000</v>
      </c>
      <c r="G350" s="6">
        <v>4000</v>
      </c>
      <c r="H350" s="6">
        <v>4500</v>
      </c>
      <c r="I350" s="25">
        <f t="shared" si="89"/>
        <v>70500</v>
      </c>
    </row>
    <row r="351" spans="1:9" ht="12.75">
      <c r="A351" s="6">
        <v>10000</v>
      </c>
      <c r="B351" s="6">
        <v>2000</v>
      </c>
      <c r="C351" s="6">
        <v>7500</v>
      </c>
      <c r="D351" s="6">
        <v>1750</v>
      </c>
      <c r="E351" s="6">
        <v>3000</v>
      </c>
      <c r="F351" s="6">
        <v>2500</v>
      </c>
      <c r="G351" s="6">
        <v>2000</v>
      </c>
      <c r="H351" s="6">
        <v>3000</v>
      </c>
      <c r="I351" s="25">
        <f t="shared" si="89"/>
        <v>21750</v>
      </c>
    </row>
    <row r="352" spans="1:9" ht="12.75">
      <c r="A352" s="6">
        <v>100000</v>
      </c>
      <c r="B352" s="6">
        <v>10</v>
      </c>
      <c r="C352" s="6">
        <v>5</v>
      </c>
      <c r="D352" s="6">
        <v>5</v>
      </c>
      <c r="E352" s="6">
        <v>25</v>
      </c>
      <c r="F352" s="6">
        <v>5</v>
      </c>
      <c r="G352" s="6">
        <v>60</v>
      </c>
      <c r="H352" s="6">
        <v>75</v>
      </c>
      <c r="I352" s="25">
        <f t="shared" si="89"/>
        <v>185</v>
      </c>
    </row>
    <row r="353" spans="1:9" ht="12.75">
      <c r="A353" s="7">
        <v>1000000</v>
      </c>
      <c r="B353" s="6">
        <f>B212/1000000</f>
        <v>2.975E-06</v>
      </c>
      <c r="C353" s="6">
        <f>C212/1000000</f>
        <v>3.4E-06</v>
      </c>
      <c r="D353" s="6">
        <f>D212/1000000</f>
        <v>1.84E-06</v>
      </c>
      <c r="E353" s="6">
        <v>2</v>
      </c>
      <c r="F353" s="6">
        <v>3</v>
      </c>
      <c r="G353" s="6">
        <v>5</v>
      </c>
      <c r="H353" s="6">
        <v>20</v>
      </c>
      <c r="I353" s="25">
        <f t="shared" si="89"/>
        <v>30.000008215</v>
      </c>
    </row>
    <row r="354" spans="1:9" ht="12.75">
      <c r="A354" s="9" t="s">
        <v>28</v>
      </c>
      <c r="B354" s="25">
        <f aca="true" t="shared" si="90" ref="B354:H354">SUM(B347:B353)</f>
        <v>212010.000002975</v>
      </c>
      <c r="C354" s="25">
        <f t="shared" si="90"/>
        <v>402505.0000034</v>
      </c>
      <c r="D354" s="25">
        <f t="shared" si="90"/>
        <v>131255.00000184</v>
      </c>
      <c r="E354" s="25">
        <f t="shared" si="90"/>
        <v>118027</v>
      </c>
      <c r="F354" s="25">
        <f t="shared" si="90"/>
        <v>102508</v>
      </c>
      <c r="G354" s="25">
        <f t="shared" si="90"/>
        <v>88565</v>
      </c>
      <c r="H354" s="25">
        <f t="shared" si="90"/>
        <v>119095</v>
      </c>
      <c r="I354" s="25">
        <f t="shared" si="89"/>
        <v>1173965.000008215</v>
      </c>
    </row>
    <row r="357" ht="12.75">
      <c r="A357" s="1" t="s">
        <v>355</v>
      </c>
    </row>
    <row r="358" ht="12.75">
      <c r="A358" t="s">
        <v>40</v>
      </c>
    </row>
    <row r="360" spans="2:9" ht="12.75">
      <c r="B360" s="3"/>
      <c r="C360" s="3"/>
      <c r="D360" s="3" t="s">
        <v>41</v>
      </c>
      <c r="E360" s="3" t="s">
        <v>14</v>
      </c>
      <c r="F360" s="3"/>
      <c r="G360" s="3" t="s">
        <v>9</v>
      </c>
      <c r="H360" s="3"/>
      <c r="I360" s="9"/>
    </row>
    <row r="361" spans="2:9" ht="12.75">
      <c r="B361" s="3" t="s">
        <v>1</v>
      </c>
      <c r="C361" s="3" t="s">
        <v>3</v>
      </c>
      <c r="D361" s="3" t="s">
        <v>4</v>
      </c>
      <c r="E361" s="3" t="s">
        <v>5</v>
      </c>
      <c r="F361" s="3" t="s">
        <v>26</v>
      </c>
      <c r="G361" s="3" t="s">
        <v>10</v>
      </c>
      <c r="H361" s="3" t="s">
        <v>6</v>
      </c>
      <c r="I361" s="9"/>
    </row>
    <row r="362" spans="2:9" ht="12.75">
      <c r="B362" s="3" t="s">
        <v>2</v>
      </c>
      <c r="C362" s="3" t="s">
        <v>2</v>
      </c>
      <c r="D362" s="3" t="s">
        <v>2</v>
      </c>
      <c r="E362" s="3" t="s">
        <v>2</v>
      </c>
      <c r="F362" s="3" t="s">
        <v>2</v>
      </c>
      <c r="G362" s="3" t="s">
        <v>2</v>
      </c>
      <c r="H362" s="3" t="s">
        <v>2</v>
      </c>
      <c r="I362" s="21" t="s">
        <v>28</v>
      </c>
    </row>
    <row r="363" ht="12.75">
      <c r="A363" s="4" t="s">
        <v>0</v>
      </c>
    </row>
    <row r="364" spans="1:9" ht="12.75">
      <c r="A364" s="6">
        <v>1</v>
      </c>
      <c r="B364" s="6">
        <f aca="true" t="shared" si="91" ref="B364:H364">(B43*0.1)*B347</f>
        <v>10000</v>
      </c>
      <c r="C364" s="6">
        <f t="shared" si="91"/>
        <v>20000</v>
      </c>
      <c r="D364" s="6">
        <f t="shared" si="91"/>
        <v>7000</v>
      </c>
      <c r="E364" s="6">
        <f t="shared" si="91"/>
        <v>7500</v>
      </c>
      <c r="F364" s="6">
        <f t="shared" si="91"/>
        <v>6000</v>
      </c>
      <c r="G364" s="6">
        <f t="shared" si="91"/>
        <v>5500</v>
      </c>
      <c r="H364" s="6">
        <f t="shared" si="91"/>
        <v>7000</v>
      </c>
      <c r="I364" s="25">
        <f aca="true" t="shared" si="92" ref="I364:I371">SUM(B364:H364)</f>
        <v>63000</v>
      </c>
    </row>
    <row r="365" spans="1:9" ht="12.75">
      <c r="A365" s="6">
        <v>10</v>
      </c>
      <c r="B365" s="6">
        <f aca="true" t="shared" si="93" ref="B365:H365">(B44*0.25)*B348</f>
        <v>18750</v>
      </c>
      <c r="C365" s="6">
        <f t="shared" si="93"/>
        <v>25000</v>
      </c>
      <c r="D365" s="6">
        <f t="shared" si="93"/>
        <v>10000</v>
      </c>
      <c r="E365" s="6">
        <f t="shared" si="93"/>
        <v>6250</v>
      </c>
      <c r="F365" s="6">
        <f t="shared" si="93"/>
        <v>6250</v>
      </c>
      <c r="G365" s="6">
        <f t="shared" si="93"/>
        <v>5000</v>
      </c>
      <c r="H365" s="6">
        <f t="shared" si="93"/>
        <v>8750</v>
      </c>
      <c r="I365" s="25">
        <f t="shared" si="92"/>
        <v>80000</v>
      </c>
    </row>
    <row r="366" spans="1:9" ht="12.75">
      <c r="A366" s="6">
        <v>100</v>
      </c>
      <c r="B366" s="6">
        <f aca="true" t="shared" si="94" ref="B366:H370">B45*B349</f>
        <v>33333.33333333333</v>
      </c>
      <c r="C366" s="6">
        <f t="shared" si="94"/>
        <v>92307.69230769231</v>
      </c>
      <c r="D366" s="6">
        <f t="shared" si="94"/>
        <v>16666.666666666664</v>
      </c>
      <c r="E366" s="6">
        <f t="shared" si="94"/>
        <v>14285.714285714286</v>
      </c>
      <c r="F366" s="6">
        <f t="shared" si="94"/>
        <v>14084.507042253521</v>
      </c>
      <c r="G366" s="6">
        <f t="shared" si="94"/>
        <v>12500</v>
      </c>
      <c r="H366" s="6">
        <f t="shared" si="94"/>
        <v>11403.508771929824</v>
      </c>
      <c r="I366" s="25">
        <f t="shared" si="92"/>
        <v>194581.42240758997</v>
      </c>
    </row>
    <row r="367" spans="1:9" ht="12.75">
      <c r="A367" s="6">
        <v>1000</v>
      </c>
      <c r="B367" s="6">
        <f t="shared" si="94"/>
        <v>58823.52941176471</v>
      </c>
      <c r="C367" s="6">
        <f t="shared" si="94"/>
        <v>201149.4252873563</v>
      </c>
      <c r="D367" s="6">
        <f t="shared" si="94"/>
        <v>42424.242424242424</v>
      </c>
      <c r="E367" s="6">
        <f t="shared" si="94"/>
        <v>30487.80487804878</v>
      </c>
      <c r="F367" s="6">
        <f t="shared" si="94"/>
        <v>31645.569620253165</v>
      </c>
      <c r="G367" s="6">
        <f t="shared" si="94"/>
        <v>25806.451612903224</v>
      </c>
      <c r="H367" s="6">
        <f t="shared" si="94"/>
        <v>31690.140845070426</v>
      </c>
      <c r="I367" s="25">
        <f t="shared" si="92"/>
        <v>422027.164079639</v>
      </c>
    </row>
    <row r="368" spans="1:9" ht="12.75">
      <c r="A368" s="6">
        <v>10000</v>
      </c>
      <c r="B368" s="6">
        <f t="shared" si="94"/>
        <v>123456.79012345678</v>
      </c>
      <c r="C368" s="6">
        <f t="shared" si="94"/>
        <v>446428.5714285714</v>
      </c>
      <c r="D368" s="6">
        <f t="shared" si="94"/>
        <v>106707.31707317074</v>
      </c>
      <c r="E368" s="6">
        <f t="shared" si="94"/>
        <v>187500</v>
      </c>
      <c r="F368" s="6">
        <f t="shared" si="94"/>
        <v>160256.41025641025</v>
      </c>
      <c r="G368" s="6">
        <f t="shared" si="94"/>
        <v>129032.25806451612</v>
      </c>
      <c r="H368" s="6">
        <f t="shared" si="94"/>
        <v>200000</v>
      </c>
      <c r="I368" s="25">
        <f t="shared" si="92"/>
        <v>1353381.3469461254</v>
      </c>
    </row>
    <row r="369" spans="1:9" ht="12.75">
      <c r="A369" s="6">
        <v>100000</v>
      </c>
      <c r="B369" s="6">
        <f t="shared" si="94"/>
        <v>6329.113924050634</v>
      </c>
      <c r="C369" s="6">
        <f t="shared" si="94"/>
        <v>3125</v>
      </c>
      <c r="D369" s="6">
        <f t="shared" si="94"/>
        <v>3086.41975308642</v>
      </c>
      <c r="E369" s="6">
        <f t="shared" si="94"/>
        <v>16025.641025641025</v>
      </c>
      <c r="F369" s="6">
        <f t="shared" si="94"/>
        <v>3144.654088050315</v>
      </c>
      <c r="G369" s="6">
        <f t="shared" si="94"/>
        <v>38961.03896103896</v>
      </c>
      <c r="H369" s="6">
        <f t="shared" si="94"/>
        <v>50675.67567567567</v>
      </c>
      <c r="I369" s="25">
        <f t="shared" si="92"/>
        <v>121347.54342754305</v>
      </c>
    </row>
    <row r="370" spans="1:9" ht="12.75">
      <c r="A370" s="7">
        <v>1000000</v>
      </c>
      <c r="B370" s="6">
        <f t="shared" si="94"/>
        <v>0.01907051282051282</v>
      </c>
      <c r="C370" s="6">
        <f t="shared" si="94"/>
        <v>0.020858895705521473</v>
      </c>
      <c r="D370" s="6">
        <f t="shared" si="94"/>
        <v>0.011645569620253165</v>
      </c>
      <c r="E370" s="6">
        <f t="shared" si="94"/>
        <v>12903.225806451614</v>
      </c>
      <c r="F370" s="6">
        <f t="shared" si="94"/>
        <v>19607.843137254902</v>
      </c>
      <c r="G370" s="6">
        <f t="shared" si="94"/>
        <v>32894.73684210526</v>
      </c>
      <c r="H370" s="6">
        <f t="shared" si="94"/>
        <v>135135.13513513515</v>
      </c>
      <c r="I370" s="25">
        <f t="shared" si="92"/>
        <v>200540.99249592508</v>
      </c>
    </row>
    <row r="371" spans="1:9" ht="12.75">
      <c r="A371" s="9" t="s">
        <v>28</v>
      </c>
      <c r="B371" s="25">
        <f aca="true" t="shared" si="95" ref="B371:H371">SUM(B364:B370)</f>
        <v>250692.78586311828</v>
      </c>
      <c r="C371" s="25">
        <f t="shared" si="95"/>
        <v>788010.7098825157</v>
      </c>
      <c r="D371" s="25">
        <f t="shared" si="95"/>
        <v>185884.65756273587</v>
      </c>
      <c r="E371" s="25">
        <f t="shared" si="95"/>
        <v>274952.38599585573</v>
      </c>
      <c r="F371" s="25">
        <f t="shared" si="95"/>
        <v>240988.98414422214</v>
      </c>
      <c r="G371" s="25">
        <f t="shared" si="95"/>
        <v>249694.48548056354</v>
      </c>
      <c r="H371" s="25">
        <f t="shared" si="95"/>
        <v>444654.4604278111</v>
      </c>
      <c r="I371" s="25">
        <f t="shared" si="92"/>
        <v>2434878.4693568223</v>
      </c>
    </row>
    <row r="374" ht="12.75">
      <c r="A374" s="1" t="s">
        <v>356</v>
      </c>
    </row>
    <row r="375" ht="12.75">
      <c r="A375" s="29" t="s">
        <v>83</v>
      </c>
    </row>
    <row r="377" spans="2:9" ht="12.75">
      <c r="B377" s="3"/>
      <c r="C377" s="3"/>
      <c r="D377" s="3" t="s">
        <v>41</v>
      </c>
      <c r="E377" s="3" t="s">
        <v>14</v>
      </c>
      <c r="F377" s="3"/>
      <c r="G377" s="3" t="s">
        <v>9</v>
      </c>
      <c r="H377" s="3"/>
      <c r="I377" s="9"/>
    </row>
    <row r="378" spans="2:9" ht="12.75">
      <c r="B378" s="3" t="s">
        <v>1</v>
      </c>
      <c r="C378" s="3" t="s">
        <v>3</v>
      </c>
      <c r="D378" s="3" t="s">
        <v>4</v>
      </c>
      <c r="E378" s="3" t="s">
        <v>5</v>
      </c>
      <c r="F378" s="3" t="s">
        <v>26</v>
      </c>
      <c r="G378" s="3" t="s">
        <v>10</v>
      </c>
      <c r="H378" s="3" t="s">
        <v>6</v>
      </c>
      <c r="I378" s="9"/>
    </row>
    <row r="379" spans="2:9" ht="12.75">
      <c r="B379" s="3" t="s">
        <v>2</v>
      </c>
      <c r="C379" s="3" t="s">
        <v>2</v>
      </c>
      <c r="D379" s="3" t="s">
        <v>2</v>
      </c>
      <c r="E379" s="3" t="s">
        <v>2</v>
      </c>
      <c r="F379" s="3" t="s">
        <v>2</v>
      </c>
      <c r="G379" s="3" t="s">
        <v>2</v>
      </c>
      <c r="H379" s="3" t="s">
        <v>2</v>
      </c>
      <c r="I379" s="21" t="s">
        <v>7</v>
      </c>
    </row>
    <row r="380" ht="12.75">
      <c r="A380" s="4" t="s">
        <v>0</v>
      </c>
    </row>
    <row r="381" spans="1:9" ht="12.75">
      <c r="A381" s="6">
        <v>1</v>
      </c>
      <c r="B381" s="26">
        <v>0.01</v>
      </c>
      <c r="C381" s="26">
        <v>0.01</v>
      </c>
      <c r="D381" s="26">
        <v>0.01</v>
      </c>
      <c r="E381" s="26">
        <v>0.01</v>
      </c>
      <c r="F381" s="26">
        <v>0.01</v>
      </c>
      <c r="G381" s="26">
        <v>0.01</v>
      </c>
      <c r="H381" s="26">
        <v>0.01</v>
      </c>
      <c r="I381" s="27">
        <f aca="true" t="shared" si="96" ref="I381:I388">AVERAGE(B381:H381)</f>
        <v>0.01</v>
      </c>
    </row>
    <row r="382" spans="1:9" ht="12.75">
      <c r="A382" s="6">
        <v>10</v>
      </c>
      <c r="B382" s="26">
        <v>0.02</v>
      </c>
      <c r="C382" s="26">
        <v>0.02</v>
      </c>
      <c r="D382" s="26">
        <v>0.02</v>
      </c>
      <c r="E382" s="26">
        <v>0.01</v>
      </c>
      <c r="F382" s="26">
        <v>0.02</v>
      </c>
      <c r="G382" s="26">
        <v>0.02</v>
      </c>
      <c r="H382" s="26">
        <v>0.02</v>
      </c>
      <c r="I382" s="27">
        <f t="shared" si="96"/>
        <v>0.018571428571428572</v>
      </c>
    </row>
    <row r="383" spans="1:9" ht="12.75">
      <c r="A383" s="6">
        <v>100</v>
      </c>
      <c r="B383" s="26">
        <v>0.03</v>
      </c>
      <c r="C383" s="26">
        <v>0.025</v>
      </c>
      <c r="D383" s="26">
        <v>0.025</v>
      </c>
      <c r="E383" s="26">
        <v>0.015</v>
      </c>
      <c r="F383" s="26">
        <v>0.02</v>
      </c>
      <c r="G383" s="26">
        <v>0.05</v>
      </c>
      <c r="H383" s="26">
        <v>0.06</v>
      </c>
      <c r="I383" s="27">
        <f t="shared" si="96"/>
        <v>0.03214285714285715</v>
      </c>
    </row>
    <row r="384" spans="1:9" ht="12.75">
      <c r="A384" s="6">
        <v>1000</v>
      </c>
      <c r="B384" s="26">
        <v>0.1</v>
      </c>
      <c r="C384" s="26">
        <v>0.12</v>
      </c>
      <c r="D384" s="26">
        <v>0.08</v>
      </c>
      <c r="E384" s="26">
        <v>0.05</v>
      </c>
      <c r="F384" s="26">
        <v>0.09</v>
      </c>
      <c r="G384" s="26">
        <v>0.13</v>
      </c>
      <c r="H384" s="26">
        <v>0.14</v>
      </c>
      <c r="I384" s="27">
        <f t="shared" si="96"/>
        <v>0.10142857142857142</v>
      </c>
    </row>
    <row r="385" spans="1:9" ht="12.75">
      <c r="A385" s="6">
        <v>10000</v>
      </c>
      <c r="B385" s="26">
        <v>0.32</v>
      </c>
      <c r="C385" s="26">
        <v>0.36</v>
      </c>
      <c r="D385" s="26">
        <v>0.24</v>
      </c>
      <c r="E385" s="26">
        <v>0.17</v>
      </c>
      <c r="F385" s="26">
        <v>0.26</v>
      </c>
      <c r="G385" s="26">
        <v>0.4</v>
      </c>
      <c r="H385" s="26">
        <v>0.44</v>
      </c>
      <c r="I385" s="27">
        <f t="shared" si="96"/>
        <v>0.31285714285714283</v>
      </c>
    </row>
    <row r="386" spans="1:9" ht="12.75">
      <c r="A386" s="6">
        <v>100000</v>
      </c>
      <c r="B386" s="26">
        <v>0.52</v>
      </c>
      <c r="C386" s="26">
        <v>0.55</v>
      </c>
      <c r="D386" s="26">
        <v>0.46</v>
      </c>
      <c r="E386" s="26">
        <v>0.3</v>
      </c>
      <c r="F386" s="26">
        <v>0.33</v>
      </c>
      <c r="G386" s="26">
        <v>0.57</v>
      </c>
      <c r="H386" s="26">
        <v>0.6</v>
      </c>
      <c r="I386" s="27">
        <f t="shared" si="96"/>
        <v>0.4757142857142857</v>
      </c>
    </row>
    <row r="387" spans="1:9" ht="12.75">
      <c r="A387" s="7">
        <v>1000000</v>
      </c>
      <c r="B387" s="26">
        <v>0.95</v>
      </c>
      <c r="C387" s="26">
        <v>0.97</v>
      </c>
      <c r="D387" s="26">
        <v>0.78</v>
      </c>
      <c r="E387" s="26">
        <v>0.62</v>
      </c>
      <c r="F387" s="26">
        <v>0.66</v>
      </c>
      <c r="G387" s="26">
        <v>0.96</v>
      </c>
      <c r="H387" s="26">
        <v>0.82</v>
      </c>
      <c r="I387" s="27">
        <f t="shared" si="96"/>
        <v>0.822857142857143</v>
      </c>
    </row>
    <row r="388" spans="1:9" ht="12.75">
      <c r="A388" s="9" t="s">
        <v>7</v>
      </c>
      <c r="B388" s="27">
        <f aca="true" t="shared" si="97" ref="B388:H388">AVERAGE(B381:B387)</f>
        <v>0.2785714285714286</v>
      </c>
      <c r="C388" s="27">
        <f t="shared" si="97"/>
        <v>0.29357142857142854</v>
      </c>
      <c r="D388" s="27">
        <f t="shared" si="97"/>
        <v>0.2307142857142857</v>
      </c>
      <c r="E388" s="27">
        <f t="shared" si="97"/>
        <v>0.16785714285714284</v>
      </c>
      <c r="F388" s="27">
        <f t="shared" si="97"/>
        <v>0.1985714285714286</v>
      </c>
      <c r="G388" s="27">
        <f t="shared" si="97"/>
        <v>0.3057142857142857</v>
      </c>
      <c r="H388" s="27">
        <f t="shared" si="97"/>
        <v>0.29857142857142854</v>
      </c>
      <c r="I388" s="27">
        <f t="shared" si="96"/>
        <v>0.25336734693877544</v>
      </c>
    </row>
    <row r="391" ht="12.75">
      <c r="A391" s="1" t="s">
        <v>357</v>
      </c>
    </row>
    <row r="392" ht="12.75">
      <c r="A392" s="29" t="s">
        <v>83</v>
      </c>
    </row>
    <row r="394" spans="1:9" ht="12.75">
      <c r="A394" s="1"/>
      <c r="B394" s="3"/>
      <c r="C394" s="3"/>
      <c r="D394" s="3" t="s">
        <v>41</v>
      </c>
      <c r="E394" s="3" t="s">
        <v>14</v>
      </c>
      <c r="F394" s="3"/>
      <c r="G394" s="3" t="s">
        <v>9</v>
      </c>
      <c r="H394" s="3"/>
      <c r="I394" s="9"/>
    </row>
    <row r="395" spans="1:9" ht="12.75">
      <c r="A395" s="1"/>
      <c r="B395" s="3" t="s">
        <v>1</v>
      </c>
      <c r="C395" s="3" t="s">
        <v>3</v>
      </c>
      <c r="D395" s="3" t="s">
        <v>4</v>
      </c>
      <c r="E395" s="3" t="s">
        <v>5</v>
      </c>
      <c r="F395" s="3" t="s">
        <v>26</v>
      </c>
      <c r="G395" s="3" t="s">
        <v>10</v>
      </c>
      <c r="H395" s="3" t="s">
        <v>6</v>
      </c>
      <c r="I395" s="9"/>
    </row>
    <row r="396" spans="2:9" ht="12.75">
      <c r="B396" s="3" t="s">
        <v>2</v>
      </c>
      <c r="C396" s="3" t="s">
        <v>2</v>
      </c>
      <c r="D396" s="3" t="s">
        <v>2</v>
      </c>
      <c r="E396" s="3" t="s">
        <v>2</v>
      </c>
      <c r="F396" s="3" t="s">
        <v>2</v>
      </c>
      <c r="G396" s="3" t="s">
        <v>2</v>
      </c>
      <c r="H396" s="3" t="s">
        <v>2</v>
      </c>
      <c r="I396" s="21" t="s">
        <v>28</v>
      </c>
    </row>
    <row r="397" spans="1:9" ht="12.75">
      <c r="A397" s="4" t="s">
        <v>0</v>
      </c>
      <c r="I397" s="22"/>
    </row>
    <row r="398" spans="1:9" ht="12.75">
      <c r="A398" s="6">
        <v>1</v>
      </c>
      <c r="B398" s="6">
        <f aca="true" t="shared" si="98" ref="B398:H404">B364*B381</f>
        <v>100</v>
      </c>
      <c r="C398" s="6">
        <f t="shared" si="98"/>
        <v>200</v>
      </c>
      <c r="D398" s="6">
        <f t="shared" si="98"/>
        <v>70</v>
      </c>
      <c r="E398" s="6">
        <f t="shared" si="98"/>
        <v>75</v>
      </c>
      <c r="F398" s="6">
        <f t="shared" si="98"/>
        <v>60</v>
      </c>
      <c r="G398" s="6">
        <f t="shared" si="98"/>
        <v>55</v>
      </c>
      <c r="H398" s="6">
        <f t="shared" si="98"/>
        <v>70</v>
      </c>
      <c r="I398" s="25">
        <f aca="true" t="shared" si="99" ref="I398:I404">SUM(B398:H398)</f>
        <v>630</v>
      </c>
    </row>
    <row r="399" spans="1:9" ht="12.75">
      <c r="A399" s="6">
        <v>10</v>
      </c>
      <c r="B399" s="6">
        <f t="shared" si="98"/>
        <v>375</v>
      </c>
      <c r="C399" s="6">
        <f t="shared" si="98"/>
        <v>500</v>
      </c>
      <c r="D399" s="6">
        <f t="shared" si="98"/>
        <v>200</v>
      </c>
      <c r="E399" s="6">
        <f t="shared" si="98"/>
        <v>62.5</v>
      </c>
      <c r="F399" s="6">
        <f t="shared" si="98"/>
        <v>125</v>
      </c>
      <c r="G399" s="6">
        <f t="shared" si="98"/>
        <v>100</v>
      </c>
      <c r="H399" s="6">
        <f t="shared" si="98"/>
        <v>175</v>
      </c>
      <c r="I399" s="25">
        <f t="shared" si="99"/>
        <v>1537.5</v>
      </c>
    </row>
    <row r="400" spans="1:9" ht="12.75">
      <c r="A400" s="6">
        <v>100</v>
      </c>
      <c r="B400" s="6">
        <f t="shared" si="98"/>
        <v>999.9999999999998</v>
      </c>
      <c r="C400" s="6">
        <f t="shared" si="98"/>
        <v>2307.692307692308</v>
      </c>
      <c r="D400" s="6">
        <f t="shared" si="98"/>
        <v>416.66666666666663</v>
      </c>
      <c r="E400" s="6">
        <f t="shared" si="98"/>
        <v>214.28571428571428</v>
      </c>
      <c r="F400" s="6">
        <f t="shared" si="98"/>
        <v>281.6901408450704</v>
      </c>
      <c r="G400" s="6">
        <f t="shared" si="98"/>
        <v>625</v>
      </c>
      <c r="H400" s="6">
        <f t="shared" si="98"/>
        <v>684.2105263157895</v>
      </c>
      <c r="I400" s="25">
        <f t="shared" si="99"/>
        <v>5529.545355805548</v>
      </c>
    </row>
    <row r="401" spans="1:9" ht="12.75">
      <c r="A401" s="6">
        <v>1000</v>
      </c>
      <c r="B401" s="6">
        <f t="shared" si="98"/>
        <v>5882.352941176472</v>
      </c>
      <c r="C401" s="6">
        <f t="shared" si="98"/>
        <v>24137.931034482757</v>
      </c>
      <c r="D401" s="6">
        <f t="shared" si="98"/>
        <v>3393.939393939394</v>
      </c>
      <c r="E401" s="6">
        <f t="shared" si="98"/>
        <v>1524.3902439024391</v>
      </c>
      <c r="F401" s="6">
        <f t="shared" si="98"/>
        <v>2848.1012658227846</v>
      </c>
      <c r="G401" s="6">
        <f t="shared" si="98"/>
        <v>3354.838709677419</v>
      </c>
      <c r="H401" s="6">
        <f t="shared" si="98"/>
        <v>4436.61971830986</v>
      </c>
      <c r="I401" s="25">
        <f t="shared" si="99"/>
        <v>45578.173307311125</v>
      </c>
    </row>
    <row r="402" spans="1:9" ht="12.75">
      <c r="A402" s="6">
        <v>10000</v>
      </c>
      <c r="B402" s="6">
        <f t="shared" si="98"/>
        <v>39506.17283950617</v>
      </c>
      <c r="C402" s="6">
        <f t="shared" si="98"/>
        <v>160714.2857142857</v>
      </c>
      <c r="D402" s="6">
        <f t="shared" si="98"/>
        <v>25609.756097560974</v>
      </c>
      <c r="E402" s="6">
        <f t="shared" si="98"/>
        <v>31875.000000000004</v>
      </c>
      <c r="F402" s="6">
        <f t="shared" si="98"/>
        <v>41666.666666666664</v>
      </c>
      <c r="G402" s="6">
        <f t="shared" si="98"/>
        <v>51612.903225806454</v>
      </c>
      <c r="H402" s="6">
        <f t="shared" si="98"/>
        <v>88000</v>
      </c>
      <c r="I402" s="25">
        <f t="shared" si="99"/>
        <v>438984.784543826</v>
      </c>
    </row>
    <row r="403" spans="1:9" ht="12.75">
      <c r="A403" s="6">
        <v>100000</v>
      </c>
      <c r="B403" s="6">
        <f t="shared" si="98"/>
        <v>3291.1392405063298</v>
      </c>
      <c r="C403" s="6">
        <f t="shared" si="98"/>
        <v>1718.7500000000002</v>
      </c>
      <c r="D403" s="6">
        <f t="shared" si="98"/>
        <v>1419.7530864197531</v>
      </c>
      <c r="E403" s="6">
        <f t="shared" si="98"/>
        <v>4807.692307692308</v>
      </c>
      <c r="F403" s="6">
        <f t="shared" si="98"/>
        <v>1037.735849056604</v>
      </c>
      <c r="G403" s="6">
        <f t="shared" si="98"/>
        <v>22207.792207792205</v>
      </c>
      <c r="H403" s="6">
        <f t="shared" si="98"/>
        <v>30405.405405405403</v>
      </c>
      <c r="I403" s="25">
        <f t="shared" si="99"/>
        <v>64888.268096872605</v>
      </c>
    </row>
    <row r="404" spans="1:9" ht="12.75">
      <c r="A404" s="6">
        <v>1000000</v>
      </c>
      <c r="B404" s="6">
        <f t="shared" si="98"/>
        <v>0.018116987179487176</v>
      </c>
      <c r="C404" s="6">
        <f t="shared" si="98"/>
        <v>0.020233128834355827</v>
      </c>
      <c r="D404" s="6">
        <f t="shared" si="98"/>
        <v>0.009083544303797469</v>
      </c>
      <c r="E404" s="6">
        <f t="shared" si="98"/>
        <v>8000</v>
      </c>
      <c r="F404" s="6">
        <f t="shared" si="98"/>
        <v>12941.176470588236</v>
      </c>
      <c r="G404" s="6">
        <f t="shared" si="98"/>
        <v>31578.94736842105</v>
      </c>
      <c r="H404" s="6">
        <f t="shared" si="98"/>
        <v>110810.81081081081</v>
      </c>
      <c r="I404" s="25">
        <f t="shared" si="99"/>
        <v>163330.9820834804</v>
      </c>
    </row>
    <row r="405" spans="1:9" ht="12.75">
      <c r="A405" s="12" t="s">
        <v>28</v>
      </c>
      <c r="B405" s="6">
        <f aca="true" t="shared" si="100" ref="B405:I405">SUM(B398:B404)</f>
        <v>50154.68313817615</v>
      </c>
      <c r="C405" s="6">
        <f t="shared" si="100"/>
        <v>189578.6792895896</v>
      </c>
      <c r="D405" s="6">
        <f t="shared" si="100"/>
        <v>31110.124328131093</v>
      </c>
      <c r="E405" s="6">
        <f t="shared" si="100"/>
        <v>46558.86826588046</v>
      </c>
      <c r="F405" s="6">
        <f t="shared" si="100"/>
        <v>58960.37039297936</v>
      </c>
      <c r="G405" s="6">
        <f t="shared" si="100"/>
        <v>109534.48151169713</v>
      </c>
      <c r="H405" s="6">
        <f t="shared" si="100"/>
        <v>234582.04646084187</v>
      </c>
      <c r="I405" s="25">
        <f t="shared" si="100"/>
        <v>720479.2533872956</v>
      </c>
    </row>
    <row r="408" ht="12.75">
      <c r="A408" s="1" t="s">
        <v>358</v>
      </c>
    </row>
    <row r="409" ht="12.75">
      <c r="A409" s="29" t="s">
        <v>386</v>
      </c>
    </row>
    <row r="411" spans="1:9" ht="12.75">
      <c r="A411" s="1"/>
      <c r="B411" s="3"/>
      <c r="C411" s="3"/>
      <c r="D411" s="3" t="s">
        <v>41</v>
      </c>
      <c r="E411" s="3" t="s">
        <v>14</v>
      </c>
      <c r="F411" s="3"/>
      <c r="G411" s="3" t="s">
        <v>9</v>
      </c>
      <c r="H411" s="3"/>
      <c r="I411" s="9"/>
    </row>
    <row r="412" spans="1:9" ht="12.75">
      <c r="A412" s="1"/>
      <c r="B412" s="3" t="s">
        <v>1</v>
      </c>
      <c r="C412" s="3" t="s">
        <v>3</v>
      </c>
      <c r="D412" s="3" t="s">
        <v>4</v>
      </c>
      <c r="E412" s="3" t="s">
        <v>5</v>
      </c>
      <c r="F412" s="3" t="s">
        <v>26</v>
      </c>
      <c r="G412" s="3" t="s">
        <v>10</v>
      </c>
      <c r="H412" s="3" t="s">
        <v>6</v>
      </c>
      <c r="I412" s="9"/>
    </row>
    <row r="413" spans="2:9" ht="12.75">
      <c r="B413" s="3" t="s">
        <v>2</v>
      </c>
      <c r="C413" s="3" t="s">
        <v>2</v>
      </c>
      <c r="D413" s="3" t="s">
        <v>2</v>
      </c>
      <c r="E413" s="3" t="s">
        <v>2</v>
      </c>
      <c r="F413" s="3" t="s">
        <v>2</v>
      </c>
      <c r="G413" s="3" t="s">
        <v>2</v>
      </c>
      <c r="H413" s="3" t="s">
        <v>2</v>
      </c>
      <c r="I413" s="21" t="s">
        <v>7</v>
      </c>
    </row>
    <row r="414" spans="1:9" ht="12.75">
      <c r="A414" s="4" t="s">
        <v>0</v>
      </c>
      <c r="I414" s="22"/>
    </row>
    <row r="415" spans="1:9" ht="12.75">
      <c r="A415" s="6">
        <v>1</v>
      </c>
      <c r="B415" s="36">
        <f>(B99*1.1)</f>
        <v>107.25000000000001</v>
      </c>
      <c r="C415" s="36">
        <f>(C99*1.05)</f>
        <v>149.73</v>
      </c>
      <c r="D415" s="36">
        <f>(D99*1.08)</f>
        <v>105.57000000000001</v>
      </c>
      <c r="E415" s="36">
        <f>(E99*1.125)</f>
        <v>151.875</v>
      </c>
      <c r="F415" s="36">
        <f>(F99*1.1)</f>
        <v>110.88000000000001</v>
      </c>
      <c r="G415" s="36">
        <f>(G99*1.13)</f>
        <v>122.60499999999999</v>
      </c>
      <c r="H415" s="36">
        <f>(H99*1.15)</f>
        <v>157.83749999999998</v>
      </c>
      <c r="I415" s="37">
        <f aca="true" t="shared" si="101" ref="I415:I422">AVERAGE(B415:H415)</f>
        <v>129.39249999999998</v>
      </c>
    </row>
    <row r="416" spans="1:9" ht="12.75">
      <c r="A416" s="6">
        <v>10</v>
      </c>
      <c r="B416" s="36">
        <f>(B100*1.12)</f>
        <v>3822.0000000000005</v>
      </c>
      <c r="C416" s="36">
        <f>(C100*1.09)</f>
        <v>3885.8500000000004</v>
      </c>
      <c r="D416" s="36">
        <f>(D100*1.11)</f>
        <v>3580.5825000000004</v>
      </c>
      <c r="E416" s="36">
        <f>(E100*1.12)</f>
        <v>9072</v>
      </c>
      <c r="F416" s="36">
        <f>(F100*1.12)</f>
        <v>7902.720000000001</v>
      </c>
      <c r="G416" s="36">
        <f>(G100*1.133)</f>
        <v>11063.745</v>
      </c>
      <c r="H416" s="36">
        <f>(H100*1.155)</f>
        <v>15852.375</v>
      </c>
      <c r="I416" s="37">
        <f t="shared" si="101"/>
        <v>7882.753214285715</v>
      </c>
    </row>
    <row r="417" spans="1:9" ht="12.75">
      <c r="A417" s="6">
        <v>100</v>
      </c>
      <c r="B417" s="36">
        <f>(B101*1.14)</f>
        <v>59279.99999999999</v>
      </c>
      <c r="C417" s="36">
        <f>(C101*1.12)</f>
        <v>73713.23076923078</v>
      </c>
      <c r="D417" s="36">
        <f>(D101*1.125)</f>
        <v>51318.75</v>
      </c>
      <c r="E417" s="36">
        <f>(E101*1.145)</f>
        <v>99369.64285714287</v>
      </c>
      <c r="F417" s="36">
        <f>(F101*1.14)</f>
        <v>64739.15492957745</v>
      </c>
      <c r="G417" s="36">
        <f>(G101*1.145)</f>
        <v>113879.79166666669</v>
      </c>
      <c r="H417" s="36">
        <f>(H101*1.157)</f>
        <v>195015.3947368421</v>
      </c>
      <c r="I417" s="37">
        <f t="shared" si="101"/>
        <v>93902.28070849426</v>
      </c>
    </row>
    <row r="418" spans="1:9" ht="12.75">
      <c r="A418" s="6">
        <v>1000</v>
      </c>
      <c r="B418" s="36">
        <f>(B102*1.15)</f>
        <v>791470.5882352941</v>
      </c>
      <c r="C418" s="36">
        <f>(C102*1.13)</f>
        <v>926080.4597701149</v>
      </c>
      <c r="D418" s="36">
        <f>(D102*1.135)</f>
        <v>739641.6666666667</v>
      </c>
      <c r="E418" s="36">
        <f>(E102*1.15)</f>
        <v>1325304.8780487804</v>
      </c>
      <c r="F418" s="36">
        <f>(F102*1.15)</f>
        <v>953772.1518987342</v>
      </c>
      <c r="G418" s="36">
        <f>(G102*1.155)</f>
        <v>1212750</v>
      </c>
      <c r="H418" s="36">
        <f>(H102*1.16)</f>
        <v>2018154.9295774647</v>
      </c>
      <c r="I418" s="37">
        <f t="shared" si="101"/>
        <v>1138167.8105995792</v>
      </c>
    </row>
    <row r="419" spans="1:9" ht="12.75">
      <c r="A419" s="6">
        <v>10000</v>
      </c>
      <c r="B419" s="36">
        <f>(B103*1.18)</f>
        <v>31248148.148148146</v>
      </c>
      <c r="C419" s="36">
        <f>(C103*1.15)</f>
        <v>36116845.23809523</v>
      </c>
      <c r="D419" s="36">
        <f>(D103*1.165)</f>
        <v>29164070.121951222</v>
      </c>
      <c r="E419" s="36">
        <f>(E103*1.175)</f>
        <v>40647656.25</v>
      </c>
      <c r="F419" s="36">
        <f>(F103*1.18)</f>
        <v>32023384.615384616</v>
      </c>
      <c r="G419" s="36">
        <f>(G103*1.1825)</f>
        <v>38076500</v>
      </c>
      <c r="H419" s="36">
        <f>(H103*1.185)</f>
        <v>52045200</v>
      </c>
      <c r="I419" s="37">
        <f t="shared" si="101"/>
        <v>37045972.05336846</v>
      </c>
    </row>
    <row r="420" spans="1:9" ht="12.75">
      <c r="A420" s="6">
        <v>100000</v>
      </c>
      <c r="B420" s="36">
        <f>(B104*1.16)</f>
        <v>443810126.5822785</v>
      </c>
      <c r="C420" s="36">
        <f>(C104*1.125)</f>
        <v>561487500</v>
      </c>
      <c r="D420" s="36">
        <f>(D104*1.145)</f>
        <v>400714660.49382716</v>
      </c>
      <c r="E420" s="36">
        <f>(E104*1.155)</f>
        <v>569725961.5384616</v>
      </c>
      <c r="F420" s="36">
        <f>(F104*1.16)</f>
        <v>426529811.3207547</v>
      </c>
      <c r="G420" s="36">
        <f>(G104*1.165)</f>
        <v>517101136.3636364</v>
      </c>
      <c r="H420" s="36">
        <f>(H104*1.175)</f>
        <v>719171452.7027028</v>
      </c>
      <c r="I420" s="37">
        <f t="shared" si="101"/>
        <v>519791521.2859516</v>
      </c>
    </row>
    <row r="421" spans="1:9" ht="12.75">
      <c r="A421" s="6">
        <v>1000000</v>
      </c>
      <c r="B421" s="36">
        <f>(B105*1.13)</f>
        <v>5226249999.999999</v>
      </c>
      <c r="C421" s="36">
        <f>(C105*1.1)</f>
        <v>6543852760.736197</v>
      </c>
      <c r="D421" s="36">
        <f>(D105*1.1)</f>
        <v>4763765822.784811</v>
      </c>
      <c r="E421" s="36">
        <f>(E105*1.125)</f>
        <v>6662903225.806452</v>
      </c>
      <c r="F421" s="36">
        <f>(F105*1.133)</f>
        <v>5150484705.882353</v>
      </c>
      <c r="G421" s="36">
        <f>(G105*1.135)</f>
        <v>6319411184.2105255</v>
      </c>
      <c r="H421" s="36">
        <f>(H105*1.137)</f>
        <v>8435310810.810812</v>
      </c>
      <c r="I421" s="37">
        <f t="shared" si="101"/>
        <v>6157425501.461594</v>
      </c>
    </row>
    <row r="422" spans="1:9" ht="12.75">
      <c r="A422" s="12" t="s">
        <v>7</v>
      </c>
      <c r="B422" s="37">
        <f aca="true" t="shared" si="102" ref="B422:H422">AVERAGE(B415:B421)</f>
        <v>814594707.7955229</v>
      </c>
      <c r="C422" s="37">
        <f t="shared" si="102"/>
        <v>1020351562.1778332</v>
      </c>
      <c r="D422" s="37">
        <f t="shared" si="102"/>
        <v>742062742.8528223</v>
      </c>
      <c r="E422" s="37">
        <f t="shared" si="102"/>
        <v>1039244391.7129742</v>
      </c>
      <c r="F422" s="37">
        <f t="shared" si="102"/>
        <v>801437775.2464744</v>
      </c>
      <c r="G422" s="37">
        <f t="shared" si="102"/>
        <v>982275233.816547</v>
      </c>
      <c r="H422" s="37">
        <f t="shared" si="102"/>
        <v>1315536663.4357612</v>
      </c>
      <c r="I422" s="37">
        <f t="shared" si="101"/>
        <v>959357582.4339908</v>
      </c>
    </row>
    <row r="423" ht="12.75">
      <c r="A423" s="12"/>
    </row>
    <row r="424" ht="12.75">
      <c r="A424" s="12"/>
    </row>
    <row r="425" ht="12.75">
      <c r="A425" s="14" t="s">
        <v>359</v>
      </c>
    </row>
    <row r="426" ht="12.75">
      <c r="A426" s="28" t="s">
        <v>51</v>
      </c>
    </row>
    <row r="427" ht="12.75">
      <c r="A427" s="28"/>
    </row>
    <row r="428" spans="1:9" ht="12.75">
      <c r="A428" s="1"/>
      <c r="B428" s="3"/>
      <c r="C428" s="3"/>
      <c r="D428" s="3" t="s">
        <v>41</v>
      </c>
      <c r="E428" s="3" t="s">
        <v>14</v>
      </c>
      <c r="F428" s="3"/>
      <c r="G428" s="3" t="s">
        <v>9</v>
      </c>
      <c r="H428" s="3"/>
      <c r="I428" s="9"/>
    </row>
    <row r="429" spans="1:9" ht="12.75">
      <c r="A429" s="1"/>
      <c r="B429" s="3" t="s">
        <v>1</v>
      </c>
      <c r="C429" s="3" t="s">
        <v>3</v>
      </c>
      <c r="D429" s="3" t="s">
        <v>4</v>
      </c>
      <c r="E429" s="3" t="s">
        <v>5</v>
      </c>
      <c r="F429" s="3" t="s">
        <v>26</v>
      </c>
      <c r="G429" s="3" t="s">
        <v>10</v>
      </c>
      <c r="H429" s="3" t="s">
        <v>6</v>
      </c>
      <c r="I429" s="9"/>
    </row>
    <row r="430" spans="2:9" ht="12.75">
      <c r="B430" s="3" t="s">
        <v>2</v>
      </c>
      <c r="C430" s="3" t="s">
        <v>2</v>
      </c>
      <c r="D430" s="3" t="s">
        <v>2</v>
      </c>
      <c r="E430" s="3" t="s">
        <v>2</v>
      </c>
      <c r="F430" s="3" t="s">
        <v>2</v>
      </c>
      <c r="G430" s="3" t="s">
        <v>2</v>
      </c>
      <c r="H430" s="3" t="s">
        <v>2</v>
      </c>
      <c r="I430" s="21" t="s">
        <v>7</v>
      </c>
    </row>
    <row r="431" spans="1:9" ht="12.75">
      <c r="A431" s="4" t="s">
        <v>0</v>
      </c>
      <c r="I431" s="22"/>
    </row>
    <row r="432" spans="1:9" ht="12.75">
      <c r="A432" s="6">
        <v>1</v>
      </c>
      <c r="B432" s="34">
        <f aca="true" t="shared" si="103" ref="B432:H432">B415/1</f>
        <v>107.25000000000001</v>
      </c>
      <c r="C432" s="34">
        <f t="shared" si="103"/>
        <v>149.73</v>
      </c>
      <c r="D432" s="34">
        <f t="shared" si="103"/>
        <v>105.57000000000001</v>
      </c>
      <c r="E432" s="34">
        <f t="shared" si="103"/>
        <v>151.875</v>
      </c>
      <c r="F432" s="34">
        <f t="shared" si="103"/>
        <v>110.88000000000001</v>
      </c>
      <c r="G432" s="34">
        <f t="shared" si="103"/>
        <v>122.60499999999999</v>
      </c>
      <c r="H432" s="34">
        <f t="shared" si="103"/>
        <v>157.83749999999998</v>
      </c>
      <c r="I432" s="35">
        <f aca="true" t="shared" si="104" ref="I432:I439">AVERAGE(B432:H432)</f>
        <v>129.39249999999998</v>
      </c>
    </row>
    <row r="433" spans="1:9" ht="12.75">
      <c r="A433" s="6">
        <v>10</v>
      </c>
      <c r="B433" s="34">
        <f aca="true" t="shared" si="105" ref="B433:H433">B416/10</f>
        <v>382.20000000000005</v>
      </c>
      <c r="C433" s="34">
        <f t="shared" si="105"/>
        <v>388.58500000000004</v>
      </c>
      <c r="D433" s="34">
        <f t="shared" si="105"/>
        <v>358.05825000000004</v>
      </c>
      <c r="E433" s="34">
        <f t="shared" si="105"/>
        <v>907.2</v>
      </c>
      <c r="F433" s="34">
        <f t="shared" si="105"/>
        <v>790.2720000000002</v>
      </c>
      <c r="G433" s="34">
        <f t="shared" si="105"/>
        <v>1106.3745000000001</v>
      </c>
      <c r="H433" s="34">
        <f t="shared" si="105"/>
        <v>1585.2375</v>
      </c>
      <c r="I433" s="35">
        <f t="shared" si="104"/>
        <v>788.2753214285715</v>
      </c>
    </row>
    <row r="434" spans="1:9" ht="12.75">
      <c r="A434" s="6">
        <v>100</v>
      </c>
      <c r="B434" s="34">
        <f aca="true" t="shared" si="106" ref="B434:H434">B417/100</f>
        <v>592.8</v>
      </c>
      <c r="C434" s="34">
        <f t="shared" si="106"/>
        <v>737.1323076923078</v>
      </c>
      <c r="D434" s="34">
        <f t="shared" si="106"/>
        <v>513.1875</v>
      </c>
      <c r="E434" s="34">
        <f t="shared" si="106"/>
        <v>993.6964285714287</v>
      </c>
      <c r="F434" s="34">
        <f t="shared" si="106"/>
        <v>647.3915492957746</v>
      </c>
      <c r="G434" s="34">
        <f t="shared" si="106"/>
        <v>1138.7979166666669</v>
      </c>
      <c r="H434" s="34">
        <f t="shared" si="106"/>
        <v>1950.153947368421</v>
      </c>
      <c r="I434" s="35">
        <f t="shared" si="104"/>
        <v>939.0228070849428</v>
      </c>
    </row>
    <row r="435" spans="1:9" ht="12.75">
      <c r="A435" s="6">
        <v>1000</v>
      </c>
      <c r="B435" s="34">
        <f aca="true" t="shared" si="107" ref="B435:H435">B418/1000</f>
        <v>791.4705882352941</v>
      </c>
      <c r="C435" s="34">
        <f t="shared" si="107"/>
        <v>926.0804597701149</v>
      </c>
      <c r="D435" s="34">
        <f t="shared" si="107"/>
        <v>739.6416666666668</v>
      </c>
      <c r="E435" s="34">
        <f t="shared" si="107"/>
        <v>1325.3048780487804</v>
      </c>
      <c r="F435" s="34">
        <f t="shared" si="107"/>
        <v>953.7721518987341</v>
      </c>
      <c r="G435" s="34">
        <f t="shared" si="107"/>
        <v>1212.75</v>
      </c>
      <c r="H435" s="34">
        <f t="shared" si="107"/>
        <v>2018.1549295774646</v>
      </c>
      <c r="I435" s="35">
        <f t="shared" si="104"/>
        <v>1138.1678105995793</v>
      </c>
    </row>
    <row r="436" spans="1:9" ht="12.75">
      <c r="A436" s="6">
        <v>10000</v>
      </c>
      <c r="B436" s="34">
        <f aca="true" t="shared" si="108" ref="B436:H436">B419/10000</f>
        <v>3124.8148148148143</v>
      </c>
      <c r="C436" s="34">
        <f t="shared" si="108"/>
        <v>3611.684523809523</v>
      </c>
      <c r="D436" s="34">
        <f t="shared" si="108"/>
        <v>2916.407012195122</v>
      </c>
      <c r="E436" s="34">
        <f t="shared" si="108"/>
        <v>4064.765625</v>
      </c>
      <c r="F436" s="34">
        <f t="shared" si="108"/>
        <v>3202.3384615384616</v>
      </c>
      <c r="G436" s="34">
        <f t="shared" si="108"/>
        <v>3807.65</v>
      </c>
      <c r="H436" s="34">
        <f t="shared" si="108"/>
        <v>5204.52</v>
      </c>
      <c r="I436" s="35">
        <f t="shared" si="104"/>
        <v>3704.597205336846</v>
      </c>
    </row>
    <row r="437" spans="1:9" ht="12.75">
      <c r="A437" s="6">
        <v>100000</v>
      </c>
      <c r="B437" s="34">
        <f aca="true" t="shared" si="109" ref="B437:H437">B420/100000</f>
        <v>4438.101265822785</v>
      </c>
      <c r="C437" s="34">
        <f t="shared" si="109"/>
        <v>5614.875</v>
      </c>
      <c r="D437" s="34">
        <f t="shared" si="109"/>
        <v>4007.1466049382716</v>
      </c>
      <c r="E437" s="34">
        <f t="shared" si="109"/>
        <v>5697.259615384615</v>
      </c>
      <c r="F437" s="34">
        <f t="shared" si="109"/>
        <v>4265.298113207547</v>
      </c>
      <c r="G437" s="34">
        <f t="shared" si="109"/>
        <v>5171.011363636364</v>
      </c>
      <c r="H437" s="34">
        <f t="shared" si="109"/>
        <v>7191.7145270270275</v>
      </c>
      <c r="I437" s="35">
        <f t="shared" si="104"/>
        <v>5197.915212859516</v>
      </c>
    </row>
    <row r="438" spans="1:9" ht="12.75">
      <c r="A438" s="6">
        <v>1000000</v>
      </c>
      <c r="B438" s="34">
        <f aca="true" t="shared" si="110" ref="B438:H438">B421/1000000</f>
        <v>5226.249999999999</v>
      </c>
      <c r="C438" s="34">
        <f t="shared" si="110"/>
        <v>6543.8527607361975</v>
      </c>
      <c r="D438" s="34">
        <f t="shared" si="110"/>
        <v>4763.7658227848115</v>
      </c>
      <c r="E438" s="34">
        <f t="shared" si="110"/>
        <v>6662.903225806452</v>
      </c>
      <c r="F438" s="34">
        <f t="shared" si="110"/>
        <v>5150.4847058823525</v>
      </c>
      <c r="G438" s="34">
        <f t="shared" si="110"/>
        <v>6319.411184210526</v>
      </c>
      <c r="H438" s="34">
        <f t="shared" si="110"/>
        <v>8435.310810810812</v>
      </c>
      <c r="I438" s="35">
        <f t="shared" si="104"/>
        <v>6157.425501461593</v>
      </c>
    </row>
    <row r="439" spans="1:9" ht="12.75">
      <c r="A439" s="12" t="s">
        <v>7</v>
      </c>
      <c r="B439" s="35">
        <f aca="true" t="shared" si="111" ref="B439:H439">AVERAGE(B432:B438)</f>
        <v>2094.6980955532704</v>
      </c>
      <c r="C439" s="35">
        <f t="shared" si="111"/>
        <v>2567.4200074297346</v>
      </c>
      <c r="D439" s="35">
        <f t="shared" si="111"/>
        <v>1914.8252652264102</v>
      </c>
      <c r="E439" s="35">
        <f t="shared" si="111"/>
        <v>2829.000681830182</v>
      </c>
      <c r="F439" s="35">
        <f t="shared" si="111"/>
        <v>2160.0624259746955</v>
      </c>
      <c r="G439" s="35">
        <f t="shared" si="111"/>
        <v>2696.942852073365</v>
      </c>
      <c r="H439" s="35">
        <f t="shared" si="111"/>
        <v>3791.847030683389</v>
      </c>
      <c r="I439" s="35">
        <f t="shared" si="104"/>
        <v>2579.2566226815784</v>
      </c>
    </row>
    <row r="440" ht="12.75">
      <c r="A440" s="12"/>
    </row>
    <row r="441" ht="12.75">
      <c r="A441" s="12"/>
    </row>
    <row r="442" ht="12.75">
      <c r="A442" s="1" t="s">
        <v>360</v>
      </c>
    </row>
    <row r="443" ht="12.75">
      <c r="A443" t="s">
        <v>82</v>
      </c>
    </row>
    <row r="445" spans="2:9" ht="12.75">
      <c r="B445" s="3"/>
      <c r="C445" s="3"/>
      <c r="D445" s="3" t="s">
        <v>41</v>
      </c>
      <c r="E445" s="3" t="s">
        <v>14</v>
      </c>
      <c r="F445" s="3"/>
      <c r="G445" s="3" t="s">
        <v>9</v>
      </c>
      <c r="H445" s="3"/>
      <c r="I445" s="3"/>
    </row>
    <row r="446" spans="2:9" ht="12.75">
      <c r="B446" s="3" t="s">
        <v>1</v>
      </c>
      <c r="C446" s="3" t="s">
        <v>3</v>
      </c>
      <c r="D446" s="3" t="s">
        <v>4</v>
      </c>
      <c r="E446" s="3" t="s">
        <v>5</v>
      </c>
      <c r="F446" s="3" t="s">
        <v>26</v>
      </c>
      <c r="G446" s="3" t="s">
        <v>10</v>
      </c>
      <c r="H446" s="3" t="s">
        <v>6</v>
      </c>
      <c r="I446" s="3"/>
    </row>
    <row r="447" spans="2:9" ht="12.75">
      <c r="B447" s="3" t="s">
        <v>2</v>
      </c>
      <c r="C447" s="3" t="s">
        <v>2</v>
      </c>
      <c r="D447" s="3" t="s">
        <v>2</v>
      </c>
      <c r="E447" s="3" t="s">
        <v>2</v>
      </c>
      <c r="F447" s="3" t="s">
        <v>2</v>
      </c>
      <c r="G447" s="3" t="s">
        <v>2</v>
      </c>
      <c r="H447" s="3" t="s">
        <v>2</v>
      </c>
      <c r="I447" s="3" t="s">
        <v>28</v>
      </c>
    </row>
    <row r="449" spans="1:9" ht="12.75">
      <c r="A449" s="30" t="s">
        <v>42</v>
      </c>
      <c r="B449" s="31">
        <v>250692.78586311828</v>
      </c>
      <c r="C449" s="31">
        <v>788010.7098825157</v>
      </c>
      <c r="D449" s="31">
        <v>185884.65756273587</v>
      </c>
      <c r="E449" s="31">
        <v>274952.38599585573</v>
      </c>
      <c r="F449" s="31">
        <v>240988.98414422214</v>
      </c>
      <c r="G449" s="31">
        <v>249694.48548056354</v>
      </c>
      <c r="H449" s="31">
        <v>444654.4604278111</v>
      </c>
      <c r="I449" s="31">
        <v>2434878.4693568223</v>
      </c>
    </row>
    <row r="450" spans="1:18" ht="12.75">
      <c r="A450" s="30" t="s">
        <v>43</v>
      </c>
      <c r="B450" s="33">
        <v>50154.68313817615</v>
      </c>
      <c r="C450" s="33">
        <v>189578.6792895896</v>
      </c>
      <c r="D450" s="33">
        <v>31110.124328131093</v>
      </c>
      <c r="E450" s="33">
        <v>46558.86826588046</v>
      </c>
      <c r="F450" s="33">
        <v>58960.37039297936</v>
      </c>
      <c r="G450" s="33">
        <v>109534.48151169713</v>
      </c>
      <c r="H450" s="33">
        <v>234370.30712530712</v>
      </c>
      <c r="I450" s="33">
        <v>720267.514051761</v>
      </c>
      <c r="J450" s="12"/>
      <c r="K450" s="6"/>
      <c r="L450" s="6"/>
      <c r="M450" s="6"/>
      <c r="N450" s="6"/>
      <c r="O450" s="6"/>
      <c r="P450" s="6"/>
      <c r="Q450" s="6"/>
      <c r="R450" s="25"/>
    </row>
    <row r="451" spans="1:9" ht="12.75">
      <c r="A451" s="30" t="s">
        <v>44</v>
      </c>
      <c r="B451" s="6">
        <f aca="true" t="shared" si="112" ref="B451:I451">B449-B450</f>
        <v>200538.10272494212</v>
      </c>
      <c r="C451" s="6">
        <f t="shared" si="112"/>
        <v>598432.0305929261</v>
      </c>
      <c r="D451" s="6">
        <f t="shared" si="112"/>
        <v>154774.53323460478</v>
      </c>
      <c r="E451" s="6">
        <f t="shared" si="112"/>
        <v>228393.51772997528</v>
      </c>
      <c r="F451" s="6">
        <f t="shared" si="112"/>
        <v>182028.61375124278</v>
      </c>
      <c r="G451" s="6">
        <f t="shared" si="112"/>
        <v>140160.00396886643</v>
      </c>
      <c r="H451" s="6">
        <f t="shared" si="112"/>
        <v>210284.15330250395</v>
      </c>
      <c r="I451" s="6">
        <f t="shared" si="112"/>
        <v>1714610.9553050613</v>
      </c>
    </row>
    <row r="453" spans="1:9" ht="12.75">
      <c r="A453" s="30" t="s">
        <v>45</v>
      </c>
      <c r="B453" s="32">
        <f aca="true" t="shared" si="113" ref="B453:I453">B450/B449</f>
        <v>0.20006432560672607</v>
      </c>
      <c r="C453" s="32">
        <f t="shared" si="113"/>
        <v>0.24057881055684363</v>
      </c>
      <c r="D453" s="32">
        <f t="shared" si="113"/>
        <v>0.16736251789705375</v>
      </c>
      <c r="E453" s="32">
        <f t="shared" si="113"/>
        <v>0.16933429436245093</v>
      </c>
      <c r="F453" s="32">
        <f t="shared" si="113"/>
        <v>0.24466002295646</v>
      </c>
      <c r="G453" s="32">
        <f t="shared" si="113"/>
        <v>0.43867401116563065</v>
      </c>
      <c r="H453" s="32">
        <f t="shared" si="113"/>
        <v>0.5270841248276577</v>
      </c>
      <c r="I453" s="32">
        <f t="shared" si="113"/>
        <v>0.2958125110211439</v>
      </c>
    </row>
    <row r="456" ht="12.75">
      <c r="A456" s="1" t="s">
        <v>361</v>
      </c>
    </row>
    <row r="457" ht="12.75">
      <c r="A457" t="s">
        <v>80</v>
      </c>
    </row>
    <row r="459" spans="2:9" ht="12.75">
      <c r="B459" s="3"/>
      <c r="C459" s="3"/>
      <c r="D459" s="3" t="s">
        <v>41</v>
      </c>
      <c r="E459" s="3" t="s">
        <v>14</v>
      </c>
      <c r="F459" s="3"/>
      <c r="G459" s="3" t="s">
        <v>9</v>
      </c>
      <c r="H459" s="3"/>
      <c r="I459" s="9"/>
    </row>
    <row r="460" spans="2:9" ht="12.75">
      <c r="B460" s="3" t="s">
        <v>1</v>
      </c>
      <c r="C460" s="3" t="s">
        <v>3</v>
      </c>
      <c r="D460" s="3" t="s">
        <v>4</v>
      </c>
      <c r="E460" s="3" t="s">
        <v>5</v>
      </c>
      <c r="F460" s="3" t="s">
        <v>26</v>
      </c>
      <c r="G460" s="3" t="s">
        <v>10</v>
      </c>
      <c r="H460" s="3" t="s">
        <v>6</v>
      </c>
      <c r="I460" s="9"/>
    </row>
    <row r="461" spans="2:9" ht="12.75">
      <c r="B461" s="3" t="s">
        <v>2</v>
      </c>
      <c r="C461" s="3" t="s">
        <v>2</v>
      </c>
      <c r="D461" s="3" t="s">
        <v>2</v>
      </c>
      <c r="E461" s="3" t="s">
        <v>2</v>
      </c>
      <c r="F461" s="3" t="s">
        <v>2</v>
      </c>
      <c r="G461" s="3" t="s">
        <v>2</v>
      </c>
      <c r="H461" s="3" t="s">
        <v>2</v>
      </c>
      <c r="I461" s="21" t="s">
        <v>7</v>
      </c>
    </row>
    <row r="462" ht="12.75">
      <c r="A462" s="4" t="s">
        <v>0</v>
      </c>
    </row>
    <row r="463" spans="1:9" ht="12.75">
      <c r="A463" s="6">
        <v>1</v>
      </c>
      <c r="B463" s="26">
        <f aca="true" t="shared" si="114" ref="B463:H464">(B415/B99)</f>
        <v>1.1</v>
      </c>
      <c r="C463" s="26">
        <f t="shared" si="114"/>
        <v>1.05</v>
      </c>
      <c r="D463" s="26">
        <f t="shared" si="114"/>
        <v>1.08</v>
      </c>
      <c r="E463" s="26">
        <f t="shared" si="114"/>
        <v>1.125</v>
      </c>
      <c r="F463" s="26">
        <f t="shared" si="114"/>
        <v>1.1</v>
      </c>
      <c r="G463" s="26">
        <f t="shared" si="114"/>
        <v>1.13</v>
      </c>
      <c r="H463" s="26">
        <f t="shared" si="114"/>
        <v>1.15</v>
      </c>
      <c r="I463" s="27">
        <f aca="true" t="shared" si="115" ref="I463:I470">AVERAGE(B463:H463)</f>
        <v>1.105</v>
      </c>
    </row>
    <row r="464" spans="1:9" ht="12.75">
      <c r="A464" s="6">
        <v>10</v>
      </c>
      <c r="B464" s="26">
        <f t="shared" si="114"/>
        <v>1.12</v>
      </c>
      <c r="C464" s="26">
        <f t="shared" si="114"/>
        <v>1.09</v>
      </c>
      <c r="D464" s="26">
        <f t="shared" si="114"/>
        <v>1.11</v>
      </c>
      <c r="E464" s="26">
        <f t="shared" si="114"/>
        <v>1.12</v>
      </c>
      <c r="F464" s="26">
        <f t="shared" si="114"/>
        <v>1.12</v>
      </c>
      <c r="G464" s="26">
        <f t="shared" si="114"/>
        <v>1.133</v>
      </c>
      <c r="H464" s="26">
        <f t="shared" si="114"/>
        <v>1.155</v>
      </c>
      <c r="I464" s="27">
        <f t="shared" si="115"/>
        <v>1.1211428571428572</v>
      </c>
    </row>
    <row r="465" spans="1:9" ht="12.75">
      <c r="A465" s="6">
        <v>100</v>
      </c>
      <c r="B465" s="26">
        <f>(B417/B101)</f>
        <v>1.14</v>
      </c>
      <c r="C465" s="26">
        <f>1+(C417/C102)</f>
        <v>1.0899446153846153</v>
      </c>
      <c r="D465" s="26">
        <f aca="true" t="shared" si="116" ref="D465:H469">(D417/D101)</f>
        <v>1.125</v>
      </c>
      <c r="E465" s="26">
        <f t="shared" si="116"/>
        <v>1.145</v>
      </c>
      <c r="F465" s="26">
        <f t="shared" si="116"/>
        <v>1.14</v>
      </c>
      <c r="G465" s="26">
        <f t="shared" si="116"/>
        <v>1.145</v>
      </c>
      <c r="H465" s="26">
        <f t="shared" si="116"/>
        <v>1.157</v>
      </c>
      <c r="I465" s="27">
        <f t="shared" si="115"/>
        <v>1.1345635164835166</v>
      </c>
    </row>
    <row r="466" spans="1:9" ht="12.75">
      <c r="A466" s="6">
        <v>1000</v>
      </c>
      <c r="B466" s="26">
        <f>(B418/B102)</f>
        <v>1.15</v>
      </c>
      <c r="C466" s="26">
        <f>(C418/C102)</f>
        <v>1.13</v>
      </c>
      <c r="D466" s="26">
        <f t="shared" si="116"/>
        <v>1.135</v>
      </c>
      <c r="E466" s="26">
        <f t="shared" si="116"/>
        <v>1.15</v>
      </c>
      <c r="F466" s="26">
        <f t="shared" si="116"/>
        <v>1.15</v>
      </c>
      <c r="G466" s="26">
        <f t="shared" si="116"/>
        <v>1.155</v>
      </c>
      <c r="H466" s="26">
        <f t="shared" si="116"/>
        <v>1.16</v>
      </c>
      <c r="I466" s="27">
        <f t="shared" si="115"/>
        <v>1.147142857142857</v>
      </c>
    </row>
    <row r="467" spans="1:9" ht="12.75">
      <c r="A467" s="6">
        <v>10000</v>
      </c>
      <c r="B467" s="26">
        <f>(B419/B103)</f>
        <v>1.18</v>
      </c>
      <c r="C467" s="26">
        <f>(C419/C103)</f>
        <v>1.1499999999999997</v>
      </c>
      <c r="D467" s="26">
        <f t="shared" si="116"/>
        <v>1.165</v>
      </c>
      <c r="E467" s="26">
        <f t="shared" si="116"/>
        <v>1.175</v>
      </c>
      <c r="F467" s="26">
        <f t="shared" si="116"/>
        <v>1.18</v>
      </c>
      <c r="G467" s="26">
        <f t="shared" si="116"/>
        <v>1.1825</v>
      </c>
      <c r="H467" s="26">
        <f t="shared" si="116"/>
        <v>1.185</v>
      </c>
      <c r="I467" s="27">
        <f t="shared" si="115"/>
        <v>1.1739285714285714</v>
      </c>
    </row>
    <row r="468" spans="1:9" ht="12.75">
      <c r="A468" s="6">
        <v>100000</v>
      </c>
      <c r="B468" s="26">
        <f>(B420/B104)</f>
        <v>1.16</v>
      </c>
      <c r="C468" s="26">
        <f>(C420/C104)</f>
        <v>1.125</v>
      </c>
      <c r="D468" s="26">
        <f t="shared" si="116"/>
        <v>1.145</v>
      </c>
      <c r="E468" s="26">
        <f t="shared" si="116"/>
        <v>1.155</v>
      </c>
      <c r="F468" s="26">
        <f t="shared" si="116"/>
        <v>1.16</v>
      </c>
      <c r="G468" s="26">
        <f t="shared" si="116"/>
        <v>1.165</v>
      </c>
      <c r="H468" s="26">
        <f t="shared" si="116"/>
        <v>1.175</v>
      </c>
      <c r="I468" s="27">
        <f t="shared" si="115"/>
        <v>1.155</v>
      </c>
    </row>
    <row r="469" spans="1:9" ht="12.75">
      <c r="A469" s="7">
        <v>1000000</v>
      </c>
      <c r="B469" s="26">
        <f>(B421/B105)</f>
        <v>1.13</v>
      </c>
      <c r="C469" s="26">
        <f>(C421/C105)</f>
        <v>1.1</v>
      </c>
      <c r="D469" s="26">
        <f t="shared" si="116"/>
        <v>1.1</v>
      </c>
      <c r="E469" s="26">
        <f t="shared" si="116"/>
        <v>1.125</v>
      </c>
      <c r="F469" s="26">
        <f t="shared" si="116"/>
        <v>1.133</v>
      </c>
      <c r="G469" s="26">
        <f t="shared" si="116"/>
        <v>1.135</v>
      </c>
      <c r="H469" s="26">
        <f t="shared" si="116"/>
        <v>1.137</v>
      </c>
      <c r="I469" s="27">
        <f t="shared" si="115"/>
        <v>1.1228571428571428</v>
      </c>
    </row>
    <row r="470" spans="1:9" ht="12.75">
      <c r="A470" s="9" t="s">
        <v>7</v>
      </c>
      <c r="B470" s="27">
        <f aca="true" t="shared" si="117" ref="B470:H470">AVERAGE(B463:B469)</f>
        <v>1.14</v>
      </c>
      <c r="C470" s="27">
        <f t="shared" si="117"/>
        <v>1.1049920879120878</v>
      </c>
      <c r="D470" s="27">
        <f t="shared" si="117"/>
        <v>1.1228571428571428</v>
      </c>
      <c r="E470" s="27">
        <f t="shared" si="117"/>
        <v>1.1421428571428571</v>
      </c>
      <c r="F470" s="27">
        <f t="shared" si="117"/>
        <v>1.1404285714285713</v>
      </c>
      <c r="G470" s="27">
        <f t="shared" si="117"/>
        <v>1.149357142857143</v>
      </c>
      <c r="H470" s="27">
        <f t="shared" si="117"/>
        <v>1.159857142857143</v>
      </c>
      <c r="I470" s="27">
        <f t="shared" si="115"/>
        <v>1.1370907064364206</v>
      </c>
    </row>
    <row r="473" ht="12.75">
      <c r="A473" s="1" t="s">
        <v>362</v>
      </c>
    </row>
    <row r="475" spans="2:9" ht="12.75">
      <c r="B475" s="3"/>
      <c r="C475" s="3"/>
      <c r="D475" s="3" t="s">
        <v>41</v>
      </c>
      <c r="E475" s="3" t="s">
        <v>14</v>
      </c>
      <c r="F475" s="3"/>
      <c r="G475" s="3" t="s">
        <v>9</v>
      </c>
      <c r="H475" s="3"/>
      <c r="I475" s="9"/>
    </row>
    <row r="476" spans="2:9" ht="12.75">
      <c r="B476" s="3" t="s">
        <v>1</v>
      </c>
      <c r="C476" s="3" t="s">
        <v>3</v>
      </c>
      <c r="D476" s="3" t="s">
        <v>4</v>
      </c>
      <c r="E476" s="3" t="s">
        <v>5</v>
      </c>
      <c r="F476" s="3" t="s">
        <v>26</v>
      </c>
      <c r="G476" s="3" t="s">
        <v>10</v>
      </c>
      <c r="H476" s="3" t="s">
        <v>6</v>
      </c>
      <c r="I476" s="9"/>
    </row>
    <row r="477" spans="2:9" ht="12.75">
      <c r="B477" s="3" t="s">
        <v>2</v>
      </c>
      <c r="C477" s="3" t="s">
        <v>2</v>
      </c>
      <c r="D477" s="3" t="s">
        <v>2</v>
      </c>
      <c r="E477" s="3" t="s">
        <v>2</v>
      </c>
      <c r="F477" s="3" t="s">
        <v>2</v>
      </c>
      <c r="G477" s="3" t="s">
        <v>2</v>
      </c>
      <c r="H477" s="3" t="s">
        <v>2</v>
      </c>
      <c r="I477" s="21" t="s">
        <v>7</v>
      </c>
    </row>
    <row r="478" ht="12.75">
      <c r="A478" s="4" t="s">
        <v>0</v>
      </c>
    </row>
    <row r="479" spans="1:9" ht="12.75">
      <c r="A479" s="6">
        <v>1</v>
      </c>
      <c r="B479" s="26">
        <v>0.99</v>
      </c>
      <c r="C479" s="26">
        <v>0.99</v>
      </c>
      <c r="D479" s="26">
        <v>0.99</v>
      </c>
      <c r="E479" s="26">
        <v>0.99</v>
      </c>
      <c r="F479" s="26">
        <v>0.99</v>
      </c>
      <c r="G479" s="26">
        <v>0.99</v>
      </c>
      <c r="H479" s="26">
        <v>0.99</v>
      </c>
      <c r="I479" s="27">
        <f aca="true" t="shared" si="118" ref="I479:I486">AVERAGE(B479:H479)</f>
        <v>0.9900000000000001</v>
      </c>
    </row>
    <row r="480" spans="1:9" ht="12.75">
      <c r="A480" s="6">
        <v>10</v>
      </c>
      <c r="B480" s="26">
        <v>0.99</v>
      </c>
      <c r="C480" s="26">
        <v>0.95</v>
      </c>
      <c r="D480" s="26">
        <v>0.95</v>
      </c>
      <c r="E480" s="26">
        <v>0.93</v>
      </c>
      <c r="F480" s="26">
        <v>0.97</v>
      </c>
      <c r="G480" s="26">
        <v>0.98</v>
      </c>
      <c r="H480" s="26">
        <v>0.92</v>
      </c>
      <c r="I480" s="27">
        <f t="shared" si="118"/>
        <v>0.9557142857142856</v>
      </c>
    </row>
    <row r="481" spans="1:9" ht="12.75">
      <c r="A481" s="6">
        <v>100</v>
      </c>
      <c r="B481" s="26">
        <v>0.85</v>
      </c>
      <c r="C481" s="26">
        <v>0.65</v>
      </c>
      <c r="D481" s="26">
        <v>0.8</v>
      </c>
      <c r="E481" s="26">
        <v>0.74</v>
      </c>
      <c r="F481" s="26">
        <v>0.8</v>
      </c>
      <c r="G481" s="26">
        <v>0.85</v>
      </c>
      <c r="H481" s="26">
        <v>0.78</v>
      </c>
      <c r="I481" s="27">
        <f t="shared" si="118"/>
        <v>0.7814285714285714</v>
      </c>
    </row>
    <row r="482" spans="1:9" ht="12.75">
      <c r="A482" s="6">
        <v>1000</v>
      </c>
      <c r="B482" s="26">
        <v>0.6</v>
      </c>
      <c r="C482" s="26">
        <v>0.45</v>
      </c>
      <c r="D482" s="26">
        <v>0.55</v>
      </c>
      <c r="E482" s="26">
        <v>0.58</v>
      </c>
      <c r="F482" s="26">
        <v>0.59</v>
      </c>
      <c r="G482" s="26">
        <v>0.62</v>
      </c>
      <c r="H482" s="26">
        <v>0.64</v>
      </c>
      <c r="I482" s="27">
        <f t="shared" si="118"/>
        <v>0.5757142857142857</v>
      </c>
    </row>
    <row r="483" spans="1:9" ht="12.75">
      <c r="A483" s="6">
        <v>10000</v>
      </c>
      <c r="B483" s="26">
        <v>0.48</v>
      </c>
      <c r="C483" s="26">
        <v>0.33</v>
      </c>
      <c r="D483" s="26">
        <v>0.42</v>
      </c>
      <c r="E483" s="26">
        <v>0.47</v>
      </c>
      <c r="F483" s="26">
        <v>0.51</v>
      </c>
      <c r="G483" s="26">
        <v>0.52</v>
      </c>
      <c r="H483" s="26">
        <v>0.54</v>
      </c>
      <c r="I483" s="27">
        <f t="shared" si="118"/>
        <v>0.46714285714285714</v>
      </c>
    </row>
    <row r="484" spans="1:9" ht="12.75">
      <c r="A484" s="6">
        <v>100000</v>
      </c>
      <c r="B484" s="26">
        <v>0.4</v>
      </c>
      <c r="C484" s="26">
        <v>0.18</v>
      </c>
      <c r="D484" s="26">
        <v>0.37</v>
      </c>
      <c r="E484" s="26">
        <v>0.4</v>
      </c>
      <c r="F484" s="26">
        <v>0.44</v>
      </c>
      <c r="G484" s="26">
        <v>0.45</v>
      </c>
      <c r="H484" s="26">
        <v>0.48</v>
      </c>
      <c r="I484" s="27">
        <f t="shared" si="118"/>
        <v>0.3885714285714286</v>
      </c>
    </row>
    <row r="485" spans="1:9" ht="12.75">
      <c r="A485" s="7">
        <v>1000000</v>
      </c>
      <c r="B485" s="26">
        <v>0.16</v>
      </c>
      <c r="C485" s="26">
        <v>0.1</v>
      </c>
      <c r="D485" s="26">
        <v>0.12</v>
      </c>
      <c r="E485" s="26">
        <v>0.18</v>
      </c>
      <c r="F485" s="26">
        <v>0.26</v>
      </c>
      <c r="G485" s="26">
        <v>0.24</v>
      </c>
      <c r="H485" s="26">
        <v>0.33</v>
      </c>
      <c r="I485" s="27">
        <f t="shared" si="118"/>
        <v>0.1985714285714286</v>
      </c>
    </row>
    <row r="486" spans="1:9" ht="12.75">
      <c r="A486" s="9" t="s">
        <v>7</v>
      </c>
      <c r="B486" s="27">
        <f aca="true" t="shared" si="119" ref="B486:H486">AVERAGE(B479:B485)</f>
        <v>0.6385714285714287</v>
      </c>
      <c r="C486" s="27">
        <f t="shared" si="119"/>
        <v>0.5214285714285715</v>
      </c>
      <c r="D486" s="27">
        <f t="shared" si="119"/>
        <v>0.6</v>
      </c>
      <c r="E486" s="27">
        <f t="shared" si="119"/>
        <v>0.6128571428571429</v>
      </c>
      <c r="F486" s="27">
        <f t="shared" si="119"/>
        <v>0.6514285714285714</v>
      </c>
      <c r="G486" s="27">
        <f t="shared" si="119"/>
        <v>0.6642857142857144</v>
      </c>
      <c r="H486" s="27">
        <f t="shared" si="119"/>
        <v>0.6685714285714287</v>
      </c>
      <c r="I486" s="27">
        <f t="shared" si="118"/>
        <v>0.6224489795918368</v>
      </c>
    </row>
    <row r="489" ht="12.75">
      <c r="A489" s="1" t="s">
        <v>363</v>
      </c>
    </row>
    <row r="491" spans="1:9" ht="12.75">
      <c r="A491" s="1"/>
      <c r="B491" s="3"/>
      <c r="C491" s="3"/>
      <c r="D491" s="3" t="s">
        <v>41</v>
      </c>
      <c r="E491" s="3" t="s">
        <v>14</v>
      </c>
      <c r="F491" s="3"/>
      <c r="G491" s="3" t="s">
        <v>9</v>
      </c>
      <c r="H491" s="3"/>
      <c r="I491" s="9"/>
    </row>
    <row r="492" spans="1:9" ht="12.75">
      <c r="A492" s="1"/>
      <c r="B492" s="3" t="s">
        <v>1</v>
      </c>
      <c r="C492" s="3" t="s">
        <v>3</v>
      </c>
      <c r="D492" s="3" t="s">
        <v>4</v>
      </c>
      <c r="E492" s="3" t="s">
        <v>5</v>
      </c>
      <c r="F492" s="3" t="s">
        <v>26</v>
      </c>
      <c r="G492" s="3" t="s">
        <v>10</v>
      </c>
      <c r="H492" s="3" t="s">
        <v>6</v>
      </c>
      <c r="I492" s="9"/>
    </row>
    <row r="493" spans="2:9" ht="12.75">
      <c r="B493" s="3" t="s">
        <v>2</v>
      </c>
      <c r="C493" s="3" t="s">
        <v>2</v>
      </c>
      <c r="D493" s="3" t="s">
        <v>2</v>
      </c>
      <c r="E493" s="3" t="s">
        <v>2</v>
      </c>
      <c r="F493" s="3" t="s">
        <v>2</v>
      </c>
      <c r="G493" s="3" t="s">
        <v>2</v>
      </c>
      <c r="H493" s="3" t="s">
        <v>2</v>
      </c>
      <c r="I493" s="21" t="s">
        <v>28</v>
      </c>
    </row>
    <row r="494" spans="1:9" ht="12.75">
      <c r="A494" s="4" t="s">
        <v>0</v>
      </c>
      <c r="I494" s="22"/>
    </row>
    <row r="495" spans="1:9" ht="12.75">
      <c r="A495" s="6">
        <v>1</v>
      </c>
      <c r="B495" s="6">
        <f aca="true" t="shared" si="120" ref="B495:H501">B364*B479</f>
        <v>9900</v>
      </c>
      <c r="C495" s="6">
        <f t="shared" si="120"/>
        <v>19800</v>
      </c>
      <c r="D495" s="6">
        <f t="shared" si="120"/>
        <v>6930</v>
      </c>
      <c r="E495" s="6">
        <f t="shared" si="120"/>
        <v>7425</v>
      </c>
      <c r="F495" s="6">
        <f t="shared" si="120"/>
        <v>5940</v>
      </c>
      <c r="G495" s="6">
        <f t="shared" si="120"/>
        <v>5445</v>
      </c>
      <c r="H495" s="6">
        <f t="shared" si="120"/>
        <v>6930</v>
      </c>
      <c r="I495" s="25">
        <f aca="true" t="shared" si="121" ref="I495:I501">SUM(B495:H495)</f>
        <v>62370</v>
      </c>
    </row>
    <row r="496" spans="1:9" ht="12.75">
      <c r="A496" s="6">
        <v>10</v>
      </c>
      <c r="B496" s="6">
        <f t="shared" si="120"/>
        <v>18562.5</v>
      </c>
      <c r="C496" s="6">
        <f t="shared" si="120"/>
        <v>23750</v>
      </c>
      <c r="D496" s="6">
        <f t="shared" si="120"/>
        <v>9500</v>
      </c>
      <c r="E496" s="6">
        <f t="shared" si="120"/>
        <v>5812.5</v>
      </c>
      <c r="F496" s="6">
        <f t="shared" si="120"/>
        <v>6062.5</v>
      </c>
      <c r="G496" s="6">
        <f t="shared" si="120"/>
        <v>4900</v>
      </c>
      <c r="H496" s="6">
        <f t="shared" si="120"/>
        <v>8050</v>
      </c>
      <c r="I496" s="25">
        <f t="shared" si="121"/>
        <v>76637.5</v>
      </c>
    </row>
    <row r="497" spans="1:9" ht="12.75">
      <c r="A497" s="6">
        <v>100</v>
      </c>
      <c r="B497" s="6">
        <f t="shared" si="120"/>
        <v>28333.33333333333</v>
      </c>
      <c r="C497" s="6">
        <f t="shared" si="120"/>
        <v>60000.00000000001</v>
      </c>
      <c r="D497" s="6">
        <f t="shared" si="120"/>
        <v>13333.333333333332</v>
      </c>
      <c r="E497" s="6">
        <f t="shared" si="120"/>
        <v>10571.428571428572</v>
      </c>
      <c r="F497" s="6">
        <f t="shared" si="120"/>
        <v>11267.605633802817</v>
      </c>
      <c r="G497" s="6">
        <f t="shared" si="120"/>
        <v>10625</v>
      </c>
      <c r="H497" s="6">
        <f t="shared" si="120"/>
        <v>8894.736842105263</v>
      </c>
      <c r="I497" s="25">
        <f t="shared" si="121"/>
        <v>143025.4377140033</v>
      </c>
    </row>
    <row r="498" spans="1:9" ht="12.75">
      <c r="A498" s="6">
        <v>1000</v>
      </c>
      <c r="B498" s="6">
        <f t="shared" si="120"/>
        <v>35294.117647058825</v>
      </c>
      <c r="C498" s="6">
        <f t="shared" si="120"/>
        <v>90517.24137931035</v>
      </c>
      <c r="D498" s="6">
        <f t="shared" si="120"/>
        <v>23333.333333333336</v>
      </c>
      <c r="E498" s="6">
        <f t="shared" si="120"/>
        <v>17682.92682926829</v>
      </c>
      <c r="F498" s="6">
        <f t="shared" si="120"/>
        <v>18670.886075949365</v>
      </c>
      <c r="G498" s="6">
        <f t="shared" si="120"/>
        <v>15999.999999999998</v>
      </c>
      <c r="H498" s="6">
        <f t="shared" si="120"/>
        <v>20281.690140845072</v>
      </c>
      <c r="I498" s="25">
        <f t="shared" si="121"/>
        <v>221780.19540576523</v>
      </c>
    </row>
    <row r="499" spans="1:9" ht="12.75">
      <c r="A499" s="6">
        <v>10000</v>
      </c>
      <c r="B499" s="6">
        <f t="shared" si="120"/>
        <v>59259.259259259255</v>
      </c>
      <c r="C499" s="6">
        <f t="shared" si="120"/>
        <v>147321.42857142858</v>
      </c>
      <c r="D499" s="6">
        <f t="shared" si="120"/>
        <v>44817.07317073171</v>
      </c>
      <c r="E499" s="6">
        <f t="shared" si="120"/>
        <v>88125</v>
      </c>
      <c r="F499" s="6">
        <f t="shared" si="120"/>
        <v>81730.76923076923</v>
      </c>
      <c r="G499" s="6">
        <f t="shared" si="120"/>
        <v>67096.77419354838</v>
      </c>
      <c r="H499" s="6">
        <f t="shared" si="120"/>
        <v>108000</v>
      </c>
      <c r="I499" s="25">
        <f t="shared" si="121"/>
        <v>596350.3044257371</v>
      </c>
    </row>
    <row r="500" spans="1:9" ht="12.75">
      <c r="A500" s="6">
        <v>100000</v>
      </c>
      <c r="B500" s="6">
        <f t="shared" si="120"/>
        <v>2531.645569620254</v>
      </c>
      <c r="C500" s="6">
        <f t="shared" si="120"/>
        <v>562.5</v>
      </c>
      <c r="D500" s="6">
        <f t="shared" si="120"/>
        <v>1141.9753086419753</v>
      </c>
      <c r="E500" s="6">
        <f t="shared" si="120"/>
        <v>6410.25641025641</v>
      </c>
      <c r="F500" s="6">
        <f t="shared" si="120"/>
        <v>1383.6477987421385</v>
      </c>
      <c r="G500" s="6">
        <f t="shared" si="120"/>
        <v>17532.467532467534</v>
      </c>
      <c r="H500" s="6">
        <f t="shared" si="120"/>
        <v>24324.324324324323</v>
      </c>
      <c r="I500" s="25">
        <f t="shared" si="121"/>
        <v>53886.81694405264</v>
      </c>
    </row>
    <row r="501" spans="1:9" ht="12.75">
      <c r="A501" s="6">
        <v>1000000</v>
      </c>
      <c r="B501" s="6">
        <f t="shared" si="120"/>
        <v>0.003051282051282051</v>
      </c>
      <c r="C501" s="6">
        <f t="shared" si="120"/>
        <v>0.0020858895705521473</v>
      </c>
      <c r="D501" s="6">
        <f t="shared" si="120"/>
        <v>0.0013974683544303796</v>
      </c>
      <c r="E501" s="6">
        <f t="shared" si="120"/>
        <v>2322.5806451612902</v>
      </c>
      <c r="F501" s="6">
        <f t="shared" si="120"/>
        <v>5098.0392156862745</v>
      </c>
      <c r="G501" s="6">
        <f t="shared" si="120"/>
        <v>7894.736842105262</v>
      </c>
      <c r="H501" s="6">
        <f t="shared" si="120"/>
        <v>44594.5945945946</v>
      </c>
      <c r="I501" s="25">
        <f t="shared" si="121"/>
        <v>59909.9578321874</v>
      </c>
    </row>
    <row r="502" spans="1:9" ht="12.75">
      <c r="A502" s="12" t="s">
        <v>28</v>
      </c>
      <c r="B502" s="6">
        <f>B354*B486</f>
        <v>135383.52857332834</v>
      </c>
      <c r="C502" s="6">
        <f aca="true" t="shared" si="122" ref="C502:I502">SUM(C495:C501)</f>
        <v>341951.1720366285</v>
      </c>
      <c r="D502" s="6">
        <f t="shared" si="122"/>
        <v>99055.71654350871</v>
      </c>
      <c r="E502" s="6">
        <f t="shared" si="122"/>
        <v>138349.69245611457</v>
      </c>
      <c r="F502" s="6">
        <f t="shared" si="122"/>
        <v>130153.44795494984</v>
      </c>
      <c r="G502" s="6">
        <f t="shared" si="122"/>
        <v>129493.97856812118</v>
      </c>
      <c r="H502" s="6">
        <f t="shared" si="122"/>
        <v>221075.34590186924</v>
      </c>
      <c r="I502" s="25">
        <f t="shared" si="122"/>
        <v>1213960.2123217457</v>
      </c>
    </row>
    <row r="505" ht="12.75">
      <c r="A505" s="1" t="s">
        <v>364</v>
      </c>
    </row>
    <row r="506" ht="12.75">
      <c r="A506" s="29" t="s">
        <v>109</v>
      </c>
    </row>
    <row r="508" spans="1:9" ht="12.75">
      <c r="A508" s="1"/>
      <c r="B508" s="3"/>
      <c r="C508" s="3"/>
      <c r="D508" s="3" t="s">
        <v>41</v>
      </c>
      <c r="E508" s="3" t="s">
        <v>14</v>
      </c>
      <c r="F508" s="3"/>
      <c r="G508" s="3" t="s">
        <v>9</v>
      </c>
      <c r="H508" s="3"/>
      <c r="I508" s="9"/>
    </row>
    <row r="509" spans="1:9" ht="12.75">
      <c r="A509" s="1"/>
      <c r="B509" s="3" t="s">
        <v>1</v>
      </c>
      <c r="C509" s="3" t="s">
        <v>3</v>
      </c>
      <c r="D509" s="3" t="s">
        <v>4</v>
      </c>
      <c r="E509" s="3" t="s">
        <v>5</v>
      </c>
      <c r="F509" s="3" t="s">
        <v>26</v>
      </c>
      <c r="G509" s="3" t="s">
        <v>10</v>
      </c>
      <c r="H509" s="3" t="s">
        <v>6</v>
      </c>
      <c r="I509" s="9"/>
    </row>
    <row r="510" spans="2:9" ht="12.75">
      <c r="B510" s="3" t="s">
        <v>2</v>
      </c>
      <c r="C510" s="3" t="s">
        <v>2</v>
      </c>
      <c r="D510" s="3" t="s">
        <v>2</v>
      </c>
      <c r="E510" s="3" t="s">
        <v>2</v>
      </c>
      <c r="F510" s="3" t="s">
        <v>2</v>
      </c>
      <c r="G510" s="3" t="s">
        <v>2</v>
      </c>
      <c r="H510" s="3" t="s">
        <v>2</v>
      </c>
      <c r="I510" s="21" t="s">
        <v>28</v>
      </c>
    </row>
    <row r="512" spans="1:9" ht="12.75">
      <c r="A512" s="3" t="s">
        <v>48</v>
      </c>
      <c r="B512" s="6">
        <f aca="true" t="shared" si="123" ref="B512:I512">B515-B513</f>
        <v>115309.25728978994</v>
      </c>
      <c r="C512" s="6">
        <f t="shared" si="123"/>
        <v>446059.53784588724</v>
      </c>
      <c r="D512" s="6">
        <f t="shared" si="123"/>
        <v>86828.94101922716</v>
      </c>
      <c r="E512" s="6">
        <f t="shared" si="123"/>
        <v>136602.69353974116</v>
      </c>
      <c r="F512" s="6">
        <f t="shared" si="123"/>
        <v>110835.5361892723</v>
      </c>
      <c r="G512" s="6">
        <f t="shared" si="123"/>
        <v>120200.50691244236</v>
      </c>
      <c r="H512" s="6">
        <f t="shared" si="123"/>
        <v>223579.11452594184</v>
      </c>
      <c r="I512" s="25">
        <f t="shared" si="123"/>
        <v>1220918.2570350766</v>
      </c>
    </row>
    <row r="513" spans="1:9" ht="12.75">
      <c r="A513" s="3" t="s">
        <v>49</v>
      </c>
      <c r="B513" s="6">
        <v>135383.52857332834</v>
      </c>
      <c r="C513" s="6">
        <v>341951.1720366285</v>
      </c>
      <c r="D513" s="6">
        <v>99055.71654350871</v>
      </c>
      <c r="E513" s="6">
        <v>138349.69245611457</v>
      </c>
      <c r="F513" s="6">
        <v>130153.44795494984</v>
      </c>
      <c r="G513" s="6">
        <v>129493.97856812118</v>
      </c>
      <c r="H513" s="6">
        <v>221075.34590186924</v>
      </c>
      <c r="I513" s="25">
        <v>1213960.2123217457</v>
      </c>
    </row>
    <row r="515" spans="1:9" ht="12.75">
      <c r="A515" s="30" t="s">
        <v>42</v>
      </c>
      <c r="B515" s="25">
        <v>250692.78586311828</v>
      </c>
      <c r="C515" s="25">
        <v>788010.7098825157</v>
      </c>
      <c r="D515" s="25">
        <v>185884.65756273587</v>
      </c>
      <c r="E515" s="25">
        <v>274952.38599585573</v>
      </c>
      <c r="F515" s="25">
        <v>240988.98414422214</v>
      </c>
      <c r="G515" s="25">
        <v>249694.48548056354</v>
      </c>
      <c r="H515" s="25">
        <v>444654.4604278111</v>
      </c>
      <c r="I515" s="25">
        <v>2434878.4693568223</v>
      </c>
    </row>
    <row r="516" spans="1:9" ht="12.75">
      <c r="A516" s="30"/>
      <c r="B516" s="25"/>
      <c r="C516" s="25"/>
      <c r="D516" s="25"/>
      <c r="E516" s="25"/>
      <c r="F516" s="25"/>
      <c r="G516" s="25"/>
      <c r="H516" s="25"/>
      <c r="I516" s="25"/>
    </row>
    <row r="517" spans="1:9" ht="12.75">
      <c r="A517" s="30" t="s">
        <v>77</v>
      </c>
      <c r="B517" s="27">
        <f aca="true" t="shared" si="124" ref="B517:I517">B512/B515</f>
        <v>0.4599624073456601</v>
      </c>
      <c r="C517" s="27">
        <f t="shared" si="124"/>
        <v>0.5660577099420262</v>
      </c>
      <c r="D517" s="27">
        <f t="shared" si="124"/>
        <v>0.46711192928831413</v>
      </c>
      <c r="E517" s="27">
        <f t="shared" si="124"/>
        <v>0.49682308827754684</v>
      </c>
      <c r="F517" s="27">
        <f t="shared" si="124"/>
        <v>0.45991951284769816</v>
      </c>
      <c r="G517" s="27">
        <f t="shared" si="124"/>
        <v>0.4813903145722411</v>
      </c>
      <c r="H517" s="27">
        <f t="shared" si="124"/>
        <v>0.5028154093199286</v>
      </c>
      <c r="I517" s="27">
        <f t="shared" si="124"/>
        <v>0.5014288279273275</v>
      </c>
    </row>
    <row r="518" spans="1:9" ht="12.75">
      <c r="A518" s="30" t="s">
        <v>78</v>
      </c>
      <c r="B518" s="27">
        <f aca="true" t="shared" si="125" ref="B518:I518">B513/B515</f>
        <v>0.5400375926543399</v>
      </c>
      <c r="C518" s="27">
        <f t="shared" si="125"/>
        <v>0.4339422900579738</v>
      </c>
      <c r="D518" s="27">
        <f t="shared" si="125"/>
        <v>0.5328880707116859</v>
      </c>
      <c r="E518" s="27">
        <f t="shared" si="125"/>
        <v>0.5031769117224532</v>
      </c>
      <c r="F518" s="27">
        <f t="shared" si="125"/>
        <v>0.5400804871523018</v>
      </c>
      <c r="G518" s="27">
        <f t="shared" si="125"/>
        <v>0.518609685427759</v>
      </c>
      <c r="H518" s="27">
        <f t="shared" si="125"/>
        <v>0.49718459068007137</v>
      </c>
      <c r="I518" s="27">
        <f t="shared" si="125"/>
        <v>0.4985711720726725</v>
      </c>
    </row>
    <row r="519" spans="1:9" ht="12.75">
      <c r="A519" s="30"/>
      <c r="B519" s="27"/>
      <c r="C519" s="27"/>
      <c r="D519" s="27"/>
      <c r="E519" s="27"/>
      <c r="F519" s="27"/>
      <c r="G519" s="27"/>
      <c r="H519" s="27"/>
      <c r="I519" s="27"/>
    </row>
    <row r="521" ht="12.75">
      <c r="A521" s="1" t="s">
        <v>365</v>
      </c>
    </row>
    <row r="522" ht="12.75">
      <c r="A522" s="29" t="s">
        <v>55</v>
      </c>
    </row>
    <row r="524" spans="2:9" ht="12.75">
      <c r="B524" s="3"/>
      <c r="C524" s="3"/>
      <c r="D524" s="3" t="s">
        <v>41</v>
      </c>
      <c r="E524" s="3" t="s">
        <v>14</v>
      </c>
      <c r="F524" s="3"/>
      <c r="G524" s="3" t="s">
        <v>9</v>
      </c>
      <c r="H524" s="3"/>
      <c r="I524" s="9"/>
    </row>
    <row r="525" spans="2:9" ht="12.75">
      <c r="B525" s="3" t="s">
        <v>1</v>
      </c>
      <c r="C525" s="3" t="s">
        <v>3</v>
      </c>
      <c r="D525" s="3" t="s">
        <v>4</v>
      </c>
      <c r="E525" s="3" t="s">
        <v>5</v>
      </c>
      <c r="F525" s="3" t="s">
        <v>26</v>
      </c>
      <c r="G525" s="3" t="s">
        <v>10</v>
      </c>
      <c r="H525" s="3" t="s">
        <v>6</v>
      </c>
      <c r="I525" s="9"/>
    </row>
    <row r="526" spans="2:9" ht="12.75">
      <c r="B526" s="3" t="s">
        <v>2</v>
      </c>
      <c r="C526" s="3" t="s">
        <v>2</v>
      </c>
      <c r="D526" s="3" t="s">
        <v>2</v>
      </c>
      <c r="E526" s="3" t="s">
        <v>2</v>
      </c>
      <c r="F526" s="3" t="s">
        <v>2</v>
      </c>
      <c r="G526" s="3" t="s">
        <v>2</v>
      </c>
      <c r="H526" s="3" t="s">
        <v>2</v>
      </c>
      <c r="I526" s="21" t="s">
        <v>7</v>
      </c>
    </row>
    <row r="527" ht="12.75">
      <c r="A527" s="4" t="s">
        <v>0</v>
      </c>
    </row>
    <row r="528" spans="1:9" ht="12.75">
      <c r="A528" s="6">
        <v>1</v>
      </c>
      <c r="B528" s="26">
        <v>0.1</v>
      </c>
      <c r="C528" s="26">
        <v>0.12</v>
      </c>
      <c r="D528" s="26">
        <v>0.07</v>
      </c>
      <c r="E528" s="26">
        <v>0.05</v>
      </c>
      <c r="F528" s="26">
        <v>0.15</v>
      </c>
      <c r="G528" s="26">
        <v>0.25</v>
      </c>
      <c r="H528" s="26">
        <v>0.05</v>
      </c>
      <c r="I528" s="27">
        <f aca="true" t="shared" si="126" ref="I528:I535">AVERAGE(B528:H528)</f>
        <v>0.11285714285714286</v>
      </c>
    </row>
    <row r="529" spans="1:9" ht="12.75">
      <c r="A529" s="6">
        <v>10</v>
      </c>
      <c r="B529" s="26">
        <v>0.3</v>
      </c>
      <c r="C529" s="26">
        <v>0.35</v>
      </c>
      <c r="D529" s="26">
        <v>0.22</v>
      </c>
      <c r="E529" s="26">
        <v>0.15</v>
      </c>
      <c r="F529" s="26">
        <v>0.3</v>
      </c>
      <c r="G529" s="26">
        <v>0.35</v>
      </c>
      <c r="H529" s="26">
        <v>0.15</v>
      </c>
      <c r="I529" s="27">
        <f t="shared" si="126"/>
        <v>0.25999999999999995</v>
      </c>
    </row>
    <row r="530" spans="1:9" ht="12.75">
      <c r="A530" s="6">
        <v>100</v>
      </c>
      <c r="B530" s="26">
        <v>0.4</v>
      </c>
      <c r="C530" s="26">
        <v>0.4</v>
      </c>
      <c r="D530" s="26">
        <v>0.3</v>
      </c>
      <c r="E530" s="26">
        <v>0.2</v>
      </c>
      <c r="F530" s="26">
        <v>0.4</v>
      </c>
      <c r="G530" s="26">
        <v>0.45</v>
      </c>
      <c r="H530" s="26">
        <v>0.2</v>
      </c>
      <c r="I530" s="27">
        <f t="shared" si="126"/>
        <v>0.3357142857142858</v>
      </c>
    </row>
    <row r="531" spans="1:9" ht="12.75">
      <c r="A531" s="6">
        <v>1000</v>
      </c>
      <c r="B531" s="26">
        <v>0.7</v>
      </c>
      <c r="C531" s="26">
        <v>0.65</v>
      </c>
      <c r="D531" s="26">
        <v>0.55</v>
      </c>
      <c r="E531" s="26">
        <v>0.4</v>
      </c>
      <c r="F531" s="26">
        <v>0.6</v>
      </c>
      <c r="G531" s="26">
        <v>0.62</v>
      </c>
      <c r="H531" s="26">
        <v>0.3</v>
      </c>
      <c r="I531" s="27">
        <f t="shared" si="126"/>
        <v>0.5457142857142857</v>
      </c>
    </row>
    <row r="532" spans="1:9" ht="12.75">
      <c r="A532" s="6">
        <v>10000</v>
      </c>
      <c r="B532" s="26">
        <v>0.96</v>
      </c>
      <c r="C532" s="26">
        <v>0.8</v>
      </c>
      <c r="D532" s="26">
        <v>0.8</v>
      </c>
      <c r="E532" s="26">
        <v>0.7</v>
      </c>
      <c r="F532" s="26">
        <v>0.77</v>
      </c>
      <c r="G532" s="26">
        <v>0.8</v>
      </c>
      <c r="H532" s="26">
        <v>0.35</v>
      </c>
      <c r="I532" s="27">
        <f t="shared" si="126"/>
        <v>0.7399999999999999</v>
      </c>
    </row>
    <row r="533" spans="1:9" ht="12.75">
      <c r="A533" s="6">
        <v>100000</v>
      </c>
      <c r="B533" s="26">
        <v>0.97</v>
      </c>
      <c r="C533" s="26">
        <v>0.87</v>
      </c>
      <c r="D533" s="26">
        <v>0.9</v>
      </c>
      <c r="E533" s="26">
        <v>0.75</v>
      </c>
      <c r="F533" s="26">
        <v>0.85</v>
      </c>
      <c r="G533" s="26">
        <v>0.87</v>
      </c>
      <c r="H533" s="26">
        <v>0.4</v>
      </c>
      <c r="I533" s="27">
        <f t="shared" si="126"/>
        <v>0.8014285714285715</v>
      </c>
    </row>
    <row r="534" spans="1:9" ht="12.75">
      <c r="A534" s="7">
        <v>1000000</v>
      </c>
      <c r="B534" s="26">
        <v>0.98</v>
      </c>
      <c r="C534" s="26">
        <v>0.92</v>
      </c>
      <c r="D534" s="26">
        <v>0.91</v>
      </c>
      <c r="E534" s="26">
        <v>0.9</v>
      </c>
      <c r="F534" s="26">
        <v>0.96</v>
      </c>
      <c r="G534" s="26">
        <v>0.92</v>
      </c>
      <c r="H534" s="26">
        <v>0.45</v>
      </c>
      <c r="I534" s="27">
        <f t="shared" si="126"/>
        <v>0.8628571428571429</v>
      </c>
    </row>
    <row r="535" spans="1:9" ht="12.75">
      <c r="A535" s="9" t="s">
        <v>7</v>
      </c>
      <c r="B535" s="27">
        <f aca="true" t="shared" si="127" ref="B535:H535">AVERAGE(B528:B534)</f>
        <v>0.63</v>
      </c>
      <c r="C535" s="27">
        <f t="shared" si="127"/>
        <v>0.5871428571428572</v>
      </c>
      <c r="D535" s="27">
        <f t="shared" si="127"/>
        <v>0.5357142857142858</v>
      </c>
      <c r="E535" s="27">
        <f t="shared" si="127"/>
        <v>0.45</v>
      </c>
      <c r="F535" s="27">
        <f t="shared" si="127"/>
        <v>0.5757142857142856</v>
      </c>
      <c r="G535" s="27">
        <f t="shared" si="127"/>
        <v>0.6085714285714285</v>
      </c>
      <c r="H535" s="27">
        <f t="shared" si="127"/>
        <v>0.2714285714285714</v>
      </c>
      <c r="I535" s="27">
        <f t="shared" si="126"/>
        <v>0.5226530612244897</v>
      </c>
    </row>
    <row r="538" ht="12.75">
      <c r="A538" s="1" t="s">
        <v>366</v>
      </c>
    </row>
    <row r="539" ht="12.75">
      <c r="A539" s="29" t="s">
        <v>110</v>
      </c>
    </row>
    <row r="540" ht="12.75">
      <c r="A540" s="29"/>
    </row>
    <row r="541" spans="2:9" ht="12.75">
      <c r="B541" s="3"/>
      <c r="C541" s="3"/>
      <c r="D541" s="3" t="s">
        <v>41</v>
      </c>
      <c r="E541" s="3" t="s">
        <v>14</v>
      </c>
      <c r="F541" s="3"/>
      <c r="G541" s="3" t="s">
        <v>9</v>
      </c>
      <c r="H541" s="3"/>
      <c r="I541" s="9"/>
    </row>
    <row r="542" spans="2:9" ht="12.75">
      <c r="B542" s="3" t="s">
        <v>1</v>
      </c>
      <c r="C542" s="3" t="s">
        <v>3</v>
      </c>
      <c r="D542" s="3" t="s">
        <v>4</v>
      </c>
      <c r="E542" s="3" t="s">
        <v>5</v>
      </c>
      <c r="F542" s="3" t="s">
        <v>26</v>
      </c>
      <c r="G542" s="3" t="s">
        <v>10</v>
      </c>
      <c r="H542" s="3" t="s">
        <v>6</v>
      </c>
      <c r="I542" s="9"/>
    </row>
    <row r="543" spans="2:9" ht="12.75">
      <c r="B543" s="3" t="s">
        <v>2</v>
      </c>
      <c r="C543" s="3" t="s">
        <v>2</v>
      </c>
      <c r="D543" s="3" t="s">
        <v>2</v>
      </c>
      <c r="E543" s="3" t="s">
        <v>2</v>
      </c>
      <c r="F543" s="3" t="s">
        <v>2</v>
      </c>
      <c r="G543" s="3" t="s">
        <v>2</v>
      </c>
      <c r="H543" s="3" t="s">
        <v>2</v>
      </c>
      <c r="I543" s="21" t="s">
        <v>7</v>
      </c>
    </row>
    <row r="544" ht="12.75">
      <c r="A544" s="4" t="s">
        <v>0</v>
      </c>
    </row>
    <row r="545" spans="1:9" ht="12.75">
      <c r="A545" s="6">
        <v>1</v>
      </c>
      <c r="B545" s="6">
        <f aca="true" t="shared" si="128" ref="B545:B551">A545^0.7</f>
        <v>1</v>
      </c>
      <c r="C545" s="6">
        <f aca="true" t="shared" si="129" ref="C545:C551">A545^0.72</f>
        <v>1</v>
      </c>
      <c r="D545" s="6">
        <f aca="true" t="shared" si="130" ref="D545:D551">A545^0.69</f>
        <v>1</v>
      </c>
      <c r="E545" s="6">
        <f aca="true" t="shared" si="131" ref="E545:E551">A545^0.65</f>
        <v>1</v>
      </c>
      <c r="F545" s="6">
        <f aca="true" t="shared" si="132" ref="F545:F551">A545^0.725</f>
        <v>1</v>
      </c>
      <c r="G545" s="6">
        <f aca="true" t="shared" si="133" ref="G545:G551">A545^0.73</f>
        <v>1</v>
      </c>
      <c r="H545" s="6">
        <f aca="true" t="shared" si="134" ref="H545:H551">A545^0.58</f>
        <v>1</v>
      </c>
      <c r="I545" s="25">
        <f aca="true" t="shared" si="135" ref="I545:I552">AVERAGE(B545:H545)</f>
        <v>1</v>
      </c>
    </row>
    <row r="546" spans="1:9" ht="12.75">
      <c r="A546" s="6">
        <v>10</v>
      </c>
      <c r="B546" s="6">
        <f t="shared" si="128"/>
        <v>5.011872336272723</v>
      </c>
      <c r="C546" s="6">
        <f t="shared" si="129"/>
        <v>5.248074602497726</v>
      </c>
      <c r="D546" s="6">
        <f t="shared" si="130"/>
        <v>4.8977881936844625</v>
      </c>
      <c r="E546" s="6">
        <f t="shared" si="131"/>
        <v>4.466835921509632</v>
      </c>
      <c r="F546" s="6">
        <f t="shared" si="132"/>
        <v>5.308844442309884</v>
      </c>
      <c r="G546" s="6">
        <f t="shared" si="133"/>
        <v>5.3703179637025285</v>
      </c>
      <c r="H546" s="6">
        <f t="shared" si="134"/>
        <v>3.801893963205612</v>
      </c>
      <c r="I546" s="25">
        <f t="shared" si="135"/>
        <v>4.872232489026081</v>
      </c>
    </row>
    <row r="547" spans="1:9" ht="12.75">
      <c r="A547" s="6">
        <v>100</v>
      </c>
      <c r="B547" s="6">
        <f t="shared" si="128"/>
        <v>25.1188643150958</v>
      </c>
      <c r="C547" s="6">
        <f t="shared" si="129"/>
        <v>27.542287033381665</v>
      </c>
      <c r="D547" s="6">
        <f t="shared" si="130"/>
        <v>23.988329190194907</v>
      </c>
      <c r="E547" s="6">
        <f t="shared" si="131"/>
        <v>19.952623149688804</v>
      </c>
      <c r="F547" s="6">
        <f t="shared" si="132"/>
        <v>28.183829312644548</v>
      </c>
      <c r="G547" s="6">
        <f t="shared" si="133"/>
        <v>28.840315031266066</v>
      </c>
      <c r="H547" s="6">
        <f t="shared" si="134"/>
        <v>14.454397707459275</v>
      </c>
      <c r="I547" s="25">
        <f t="shared" si="135"/>
        <v>24.01152081996158</v>
      </c>
    </row>
    <row r="548" spans="1:9" ht="12.75">
      <c r="A548" s="6">
        <v>1000</v>
      </c>
      <c r="B548" s="6">
        <f t="shared" si="128"/>
        <v>125.89254117941665</v>
      </c>
      <c r="C548" s="6">
        <f t="shared" si="129"/>
        <v>144.54397707459273</v>
      </c>
      <c r="D548" s="6">
        <f t="shared" si="130"/>
        <v>117.48975549395293</v>
      </c>
      <c r="E548" s="6">
        <f t="shared" si="131"/>
        <v>89.12509381337456</v>
      </c>
      <c r="F548" s="6">
        <f t="shared" si="132"/>
        <v>149.6235656094433</v>
      </c>
      <c r="G548" s="6">
        <f t="shared" si="133"/>
        <v>154.88166189124806</v>
      </c>
      <c r="H548" s="6">
        <f t="shared" si="134"/>
        <v>54.95408738576242</v>
      </c>
      <c r="I548" s="25">
        <f t="shared" si="135"/>
        <v>119.5015260639701</v>
      </c>
    </row>
    <row r="549" spans="1:9" ht="12.75">
      <c r="A549" s="6">
        <v>10000</v>
      </c>
      <c r="B549" s="6">
        <f t="shared" si="128"/>
        <v>630.9573444801932</v>
      </c>
      <c r="C549" s="6">
        <f t="shared" si="129"/>
        <v>758.5775750291838</v>
      </c>
      <c r="D549" s="6">
        <f t="shared" si="130"/>
        <v>575.4399373371571</v>
      </c>
      <c r="E549" s="6">
        <f t="shared" si="131"/>
        <v>398.1071705534976</v>
      </c>
      <c r="F549" s="6">
        <f t="shared" si="132"/>
        <v>794.3282347242821</v>
      </c>
      <c r="G549" s="6">
        <f t="shared" si="133"/>
        <v>831.7637711026714</v>
      </c>
      <c r="H549" s="6">
        <f t="shared" si="134"/>
        <v>208.92961308540396</v>
      </c>
      <c r="I549" s="25">
        <f t="shared" si="135"/>
        <v>599.7290923303414</v>
      </c>
    </row>
    <row r="550" spans="1:9" ht="12.75">
      <c r="A550" s="6">
        <v>100000</v>
      </c>
      <c r="B550" s="6">
        <f t="shared" si="128"/>
        <v>3162.2776601683804</v>
      </c>
      <c r="C550" s="6">
        <f t="shared" si="129"/>
        <v>3981.07170553497</v>
      </c>
      <c r="D550" s="6">
        <f t="shared" si="130"/>
        <v>2818.3829312644534</v>
      </c>
      <c r="E550" s="6">
        <f t="shared" si="131"/>
        <v>1778.2794100389228</v>
      </c>
      <c r="F550" s="6">
        <f t="shared" si="132"/>
        <v>4216.965034285819</v>
      </c>
      <c r="G550" s="6">
        <f t="shared" si="133"/>
        <v>4466.835921509634</v>
      </c>
      <c r="H550" s="6">
        <f t="shared" si="134"/>
        <v>794.3282347242814</v>
      </c>
      <c r="I550" s="25">
        <f t="shared" si="135"/>
        <v>3031.1629853609234</v>
      </c>
    </row>
    <row r="551" spans="1:9" ht="12.75">
      <c r="A551" s="7">
        <v>1000000</v>
      </c>
      <c r="B551" s="6">
        <f t="shared" si="128"/>
        <v>15848.931924611119</v>
      </c>
      <c r="C551" s="6">
        <f t="shared" si="129"/>
        <v>20892.961308540387</v>
      </c>
      <c r="D551" s="6">
        <f t="shared" si="130"/>
        <v>13803.842646028841</v>
      </c>
      <c r="E551" s="6">
        <f t="shared" si="131"/>
        <v>7943.282347242815</v>
      </c>
      <c r="F551" s="6">
        <f t="shared" si="132"/>
        <v>22387.211385683382</v>
      </c>
      <c r="G551" s="6">
        <f t="shared" si="133"/>
        <v>23988.32919019488</v>
      </c>
      <c r="H551" s="6">
        <f t="shared" si="134"/>
        <v>3019.951720402012</v>
      </c>
      <c r="I551" s="25">
        <f t="shared" si="135"/>
        <v>15412.072931814777</v>
      </c>
    </row>
    <row r="552" spans="1:9" ht="12.75">
      <c r="A552" s="9" t="s">
        <v>7</v>
      </c>
      <c r="B552" s="25">
        <f aca="true" t="shared" si="136" ref="B552:H552">AVERAGE(B545:B551)</f>
        <v>2828.455743870068</v>
      </c>
      <c r="C552" s="25">
        <f t="shared" si="136"/>
        <v>3687.277846830716</v>
      </c>
      <c r="D552" s="25">
        <f t="shared" si="136"/>
        <v>2477.8630553583266</v>
      </c>
      <c r="E552" s="25">
        <f t="shared" si="136"/>
        <v>1462.030497245687</v>
      </c>
      <c r="F552" s="25">
        <f t="shared" si="136"/>
        <v>3940.37441343684</v>
      </c>
      <c r="G552" s="25">
        <f t="shared" si="136"/>
        <v>4211.003025384772</v>
      </c>
      <c r="H552" s="25">
        <f t="shared" si="136"/>
        <v>585.3457067525893</v>
      </c>
      <c r="I552" s="25">
        <f t="shared" si="135"/>
        <v>2741.764326982714</v>
      </c>
    </row>
    <row r="553" spans="1:9" ht="12.75">
      <c r="A553" s="9"/>
      <c r="B553" s="25"/>
      <c r="C553" s="25"/>
      <c r="D553" s="25"/>
      <c r="E553" s="25"/>
      <c r="F553" s="25"/>
      <c r="G553" s="25"/>
      <c r="H553" s="25"/>
      <c r="I553" s="25"/>
    </row>
    <row r="555" ht="12.75">
      <c r="A555" s="1" t="s">
        <v>367</v>
      </c>
    </row>
    <row r="556" ht="12.75">
      <c r="A556" s="29" t="s">
        <v>56</v>
      </c>
    </row>
    <row r="558" spans="2:9" ht="12.75">
      <c r="B558" s="3"/>
      <c r="C558" s="3"/>
      <c r="D558" s="3" t="s">
        <v>41</v>
      </c>
      <c r="E558" s="3" t="s">
        <v>14</v>
      </c>
      <c r="F558" s="3"/>
      <c r="G558" s="3" t="s">
        <v>9</v>
      </c>
      <c r="H558" s="3"/>
      <c r="I558" s="9"/>
    </row>
    <row r="559" spans="2:9" ht="12.75">
      <c r="B559" s="3" t="s">
        <v>1</v>
      </c>
      <c r="C559" s="3" t="s">
        <v>3</v>
      </c>
      <c r="D559" s="3" t="s">
        <v>4</v>
      </c>
      <c r="E559" s="3" t="s">
        <v>5</v>
      </c>
      <c r="F559" s="3" t="s">
        <v>26</v>
      </c>
      <c r="G559" s="3" t="s">
        <v>10</v>
      </c>
      <c r="H559" s="3" t="s">
        <v>6</v>
      </c>
      <c r="I559" s="9"/>
    </row>
    <row r="560" spans="2:9" ht="12.75">
      <c r="B560" s="3" t="s">
        <v>2</v>
      </c>
      <c r="C560" s="3" t="s">
        <v>2</v>
      </c>
      <c r="D560" s="3" t="s">
        <v>2</v>
      </c>
      <c r="E560" s="3" t="s">
        <v>2</v>
      </c>
      <c r="F560" s="3" t="s">
        <v>2</v>
      </c>
      <c r="G560" s="3" t="s">
        <v>2</v>
      </c>
      <c r="H560" s="3" t="s">
        <v>2</v>
      </c>
      <c r="I560" s="21" t="s">
        <v>7</v>
      </c>
    </row>
    <row r="561" ht="12.75">
      <c r="A561" s="4" t="s">
        <v>0</v>
      </c>
    </row>
    <row r="562" spans="1:9" ht="12.75">
      <c r="A562" s="6">
        <v>1</v>
      </c>
      <c r="B562" s="26">
        <v>0.01</v>
      </c>
      <c r="C562" s="26">
        <v>0.02</v>
      </c>
      <c r="D562" s="26">
        <v>0.07</v>
      </c>
      <c r="E562" s="26">
        <v>0.05</v>
      </c>
      <c r="F562" s="26">
        <v>0.1</v>
      </c>
      <c r="G562" s="26">
        <v>0.12</v>
      </c>
      <c r="H562" s="26">
        <v>0.05</v>
      </c>
      <c r="I562" s="27">
        <f aca="true" t="shared" si="137" ref="I562:I569">AVERAGE(B562:H562)</f>
        <v>0.06</v>
      </c>
    </row>
    <row r="563" spans="1:9" ht="12.75">
      <c r="A563" s="6">
        <v>10</v>
      </c>
      <c r="B563" s="26">
        <v>0.03</v>
      </c>
      <c r="C563" s="26">
        <v>0.05</v>
      </c>
      <c r="D563" s="26">
        <v>0.02</v>
      </c>
      <c r="E563" s="26">
        <v>0.01</v>
      </c>
      <c r="F563" s="26">
        <v>0.1</v>
      </c>
      <c r="G563" s="26">
        <v>0.13</v>
      </c>
      <c r="H563" s="26">
        <v>0.15</v>
      </c>
      <c r="I563" s="27">
        <f t="shared" si="137"/>
        <v>0.06999999999999999</v>
      </c>
    </row>
    <row r="564" spans="1:9" ht="12.75">
      <c r="A564" s="6">
        <v>100</v>
      </c>
      <c r="B564" s="26">
        <v>0.05</v>
      </c>
      <c r="C564" s="26">
        <v>0.12</v>
      </c>
      <c r="D564" s="26">
        <v>0.04</v>
      </c>
      <c r="E564" s="26">
        <v>0.03</v>
      </c>
      <c r="F564" s="26">
        <v>0.1</v>
      </c>
      <c r="G564" s="26">
        <v>0.15</v>
      </c>
      <c r="H564" s="26">
        <v>0.2</v>
      </c>
      <c r="I564" s="27">
        <f t="shared" si="137"/>
        <v>0.09857142857142856</v>
      </c>
    </row>
    <row r="565" spans="1:9" ht="12.75">
      <c r="A565" s="6">
        <v>1000</v>
      </c>
      <c r="B565" s="26">
        <v>0.12</v>
      </c>
      <c r="C565" s="26">
        <v>0.2</v>
      </c>
      <c r="D565" s="26">
        <v>0.1</v>
      </c>
      <c r="E565" s="26">
        <v>0.07</v>
      </c>
      <c r="F565" s="26">
        <v>0.15</v>
      </c>
      <c r="G565" s="26">
        <v>0.2</v>
      </c>
      <c r="H565" s="26">
        <v>0.23</v>
      </c>
      <c r="I565" s="27">
        <f t="shared" si="137"/>
        <v>0.15285714285714286</v>
      </c>
    </row>
    <row r="566" spans="1:9" ht="12.75">
      <c r="A566" s="6">
        <v>10000</v>
      </c>
      <c r="B566" s="26">
        <v>0.25</v>
      </c>
      <c r="C566" s="26">
        <v>0.3</v>
      </c>
      <c r="D566" s="26">
        <v>0.2</v>
      </c>
      <c r="E566" s="26">
        <v>0.17</v>
      </c>
      <c r="F566" s="26">
        <v>0.26</v>
      </c>
      <c r="G566" s="26">
        <v>0.28</v>
      </c>
      <c r="H566" s="26">
        <v>0.25</v>
      </c>
      <c r="I566" s="27">
        <f t="shared" si="137"/>
        <v>0.2442857142857143</v>
      </c>
    </row>
    <row r="567" spans="1:9" ht="12.75">
      <c r="A567" s="6">
        <v>100000</v>
      </c>
      <c r="B567" s="26">
        <v>0.22</v>
      </c>
      <c r="C567" s="26">
        <v>0.25</v>
      </c>
      <c r="D567" s="26">
        <v>0.15</v>
      </c>
      <c r="E567" s="26">
        <v>0.14</v>
      </c>
      <c r="F567" s="26">
        <v>0.24</v>
      </c>
      <c r="G567" s="26">
        <v>0.22</v>
      </c>
      <c r="H567" s="26">
        <v>0.1</v>
      </c>
      <c r="I567" s="27">
        <f t="shared" si="137"/>
        <v>0.18857142857142858</v>
      </c>
    </row>
    <row r="568" spans="1:9" ht="12.75">
      <c r="A568" s="7">
        <v>1000000</v>
      </c>
      <c r="B568" s="26">
        <v>0.2</v>
      </c>
      <c r="C568" s="26">
        <v>0.3</v>
      </c>
      <c r="D568" s="26">
        <v>0.15</v>
      </c>
      <c r="E568" s="26">
        <v>0.12</v>
      </c>
      <c r="F568" s="26">
        <v>0.17</v>
      </c>
      <c r="G568" s="26">
        <v>0.2</v>
      </c>
      <c r="H568" s="26">
        <v>0.05</v>
      </c>
      <c r="I568" s="27">
        <f t="shared" si="137"/>
        <v>0.17</v>
      </c>
    </row>
    <row r="569" spans="1:9" ht="12.75">
      <c r="A569" s="9" t="s">
        <v>7</v>
      </c>
      <c r="B569" s="27">
        <f aca="true" t="shared" si="138" ref="B569:H569">AVERAGE(B562:B568)</f>
        <v>0.1257142857142857</v>
      </c>
      <c r="C569" s="27">
        <f t="shared" si="138"/>
        <v>0.17714285714285713</v>
      </c>
      <c r="D569" s="27">
        <f t="shared" si="138"/>
        <v>0.1042857142857143</v>
      </c>
      <c r="E569" s="27">
        <f t="shared" si="138"/>
        <v>0.0842857142857143</v>
      </c>
      <c r="F569" s="27">
        <f t="shared" si="138"/>
        <v>0.16</v>
      </c>
      <c r="G569" s="27">
        <f t="shared" si="138"/>
        <v>0.18571428571428572</v>
      </c>
      <c r="H569" s="27">
        <f t="shared" si="138"/>
        <v>0.14714285714285716</v>
      </c>
      <c r="I569" s="27">
        <f t="shared" si="137"/>
        <v>0.14061224489795918</v>
      </c>
    </row>
    <row r="572" ht="12.75">
      <c r="A572" s="1" t="s">
        <v>368</v>
      </c>
    </row>
    <row r="573" ht="12.75">
      <c r="A573" t="s">
        <v>81</v>
      </c>
    </row>
    <row r="575" spans="2:9" ht="12.75">
      <c r="B575" s="3"/>
      <c r="C575" s="3"/>
      <c r="D575" s="3" t="s">
        <v>41</v>
      </c>
      <c r="E575" s="3" t="s">
        <v>14</v>
      </c>
      <c r="F575" s="3"/>
      <c r="G575" s="3" t="s">
        <v>9</v>
      </c>
      <c r="H575" s="30"/>
      <c r="I575" s="3"/>
    </row>
    <row r="576" spans="2:9" ht="12.75">
      <c r="B576" s="3" t="s">
        <v>1</v>
      </c>
      <c r="C576" s="3" t="s">
        <v>3</v>
      </c>
      <c r="D576" s="3" t="s">
        <v>4</v>
      </c>
      <c r="E576" s="3" t="s">
        <v>5</v>
      </c>
      <c r="F576" s="3" t="s">
        <v>26</v>
      </c>
      <c r="G576" s="3" t="s">
        <v>10</v>
      </c>
      <c r="H576" s="30" t="s">
        <v>6</v>
      </c>
      <c r="I576" s="3"/>
    </row>
    <row r="577" spans="2:9" ht="12.75">
      <c r="B577" s="3" t="s">
        <v>2</v>
      </c>
      <c r="C577" s="3" t="s">
        <v>2</v>
      </c>
      <c r="D577" s="3" t="s">
        <v>2</v>
      </c>
      <c r="E577" s="3" t="s">
        <v>2</v>
      </c>
      <c r="F577" s="3" t="s">
        <v>2</v>
      </c>
      <c r="G577" s="3" t="s">
        <v>2</v>
      </c>
      <c r="H577" s="3" t="s">
        <v>2</v>
      </c>
      <c r="I577" s="21" t="s">
        <v>7</v>
      </c>
    </row>
    <row r="578" spans="1:9" ht="12.75">
      <c r="A578" s="4" t="s">
        <v>0</v>
      </c>
      <c r="I578" s="22"/>
    </row>
    <row r="579" spans="1:9" ht="12.75">
      <c r="A579" s="6">
        <v>1</v>
      </c>
      <c r="B579" s="5">
        <v>1.4</v>
      </c>
      <c r="C579" s="5">
        <v>1</v>
      </c>
      <c r="D579" s="5">
        <v>1.5</v>
      </c>
      <c r="E579" s="5">
        <v>3</v>
      </c>
      <c r="F579" s="5">
        <v>2</v>
      </c>
      <c r="G579" s="5">
        <v>2</v>
      </c>
      <c r="H579" s="5">
        <v>3</v>
      </c>
      <c r="I579" s="10">
        <f aca="true" t="shared" si="139" ref="I579:I585">AVERAGE(B579:H579)</f>
        <v>1.9857142857142858</v>
      </c>
    </row>
    <row r="580" spans="1:9" ht="12.75">
      <c r="A580" s="6">
        <v>10</v>
      </c>
      <c r="B580" s="5">
        <v>2.5</v>
      </c>
      <c r="C580" s="5">
        <v>2</v>
      </c>
      <c r="D580" s="5">
        <v>3</v>
      </c>
      <c r="E580" s="5">
        <v>4</v>
      </c>
      <c r="F580" s="5">
        <v>3</v>
      </c>
      <c r="G580" s="5">
        <v>4</v>
      </c>
      <c r="H580" s="5">
        <v>4</v>
      </c>
      <c r="I580" s="10">
        <f t="shared" si="139"/>
        <v>3.2142857142857144</v>
      </c>
    </row>
    <row r="581" spans="1:12" ht="12.75">
      <c r="A581" s="6">
        <v>100</v>
      </c>
      <c r="B581" s="5">
        <v>4</v>
      </c>
      <c r="C581" s="5">
        <v>3</v>
      </c>
      <c r="D581" s="5">
        <v>4.5</v>
      </c>
      <c r="E581" s="5">
        <v>4.5</v>
      </c>
      <c r="F581" s="5">
        <v>4</v>
      </c>
      <c r="G581" s="5">
        <v>5.5</v>
      </c>
      <c r="H581" s="5">
        <v>5</v>
      </c>
      <c r="I581" s="10">
        <f t="shared" si="139"/>
        <v>4.357142857142857</v>
      </c>
      <c r="K581" s="38"/>
      <c r="L581" s="38"/>
    </row>
    <row r="582" spans="1:12" ht="12.75">
      <c r="A582" s="6">
        <v>1000</v>
      </c>
      <c r="B582" s="5">
        <v>5</v>
      </c>
      <c r="C582" s="5">
        <v>4</v>
      </c>
      <c r="D582" s="5">
        <v>5</v>
      </c>
      <c r="E582" s="5">
        <v>6</v>
      </c>
      <c r="F582" s="5">
        <v>5</v>
      </c>
      <c r="G582" s="5">
        <v>8</v>
      </c>
      <c r="H582" s="5">
        <v>9</v>
      </c>
      <c r="I582" s="10">
        <f t="shared" si="139"/>
        <v>6</v>
      </c>
      <c r="K582" s="38"/>
      <c r="L582" s="38"/>
    </row>
    <row r="583" spans="1:12" ht="12.75">
      <c r="A583" s="6">
        <v>10000</v>
      </c>
      <c r="B583" s="5">
        <v>18</v>
      </c>
      <c r="C583" s="5">
        <v>9</v>
      </c>
      <c r="D583" s="5">
        <v>14</v>
      </c>
      <c r="E583" s="5">
        <v>13</v>
      </c>
      <c r="F583" s="5">
        <v>9</v>
      </c>
      <c r="G583" s="5">
        <v>22</v>
      </c>
      <c r="H583" s="5">
        <v>23</v>
      </c>
      <c r="I583" s="10">
        <f t="shared" si="139"/>
        <v>15.428571428571429</v>
      </c>
      <c r="K583" s="38"/>
      <c r="L583" s="38"/>
    </row>
    <row r="584" spans="1:12" ht="12.75">
      <c r="A584" s="6">
        <v>100000</v>
      </c>
      <c r="B584" s="5">
        <v>20</v>
      </c>
      <c r="C584" s="5">
        <v>10</v>
      </c>
      <c r="D584" s="5">
        <v>17</v>
      </c>
      <c r="E584" s="5">
        <v>15</v>
      </c>
      <c r="F584" s="5">
        <v>14</v>
      </c>
      <c r="G584" s="5">
        <v>24</v>
      </c>
      <c r="H584" s="5">
        <v>24</v>
      </c>
      <c r="I584" s="10">
        <f t="shared" si="139"/>
        <v>17.714285714285715</v>
      </c>
      <c r="K584" s="38"/>
      <c r="L584" s="38"/>
    </row>
    <row r="585" spans="1:12" ht="12.75">
      <c r="A585" s="6">
        <v>1000000</v>
      </c>
      <c r="B585" s="5">
        <v>25</v>
      </c>
      <c r="C585" s="5">
        <v>12</v>
      </c>
      <c r="D585" s="5">
        <v>27</v>
      </c>
      <c r="E585" s="5">
        <v>18</v>
      </c>
      <c r="F585" s="5">
        <v>20</v>
      </c>
      <c r="G585" s="5">
        <v>28</v>
      </c>
      <c r="H585" s="5">
        <v>26</v>
      </c>
      <c r="I585" s="10">
        <f t="shared" si="139"/>
        <v>22.285714285714285</v>
      </c>
      <c r="K585" s="38"/>
      <c r="L585" s="38"/>
    </row>
    <row r="586" spans="1:12" ht="12.75">
      <c r="A586" s="12" t="s">
        <v>7</v>
      </c>
      <c r="B586" s="10">
        <f aca="true" t="shared" si="140" ref="B586:I586">AVERAGE(B579:B585)</f>
        <v>10.842857142857143</v>
      </c>
      <c r="C586" s="10">
        <f t="shared" si="140"/>
        <v>5.857142857142857</v>
      </c>
      <c r="D586" s="10">
        <f t="shared" si="140"/>
        <v>10.285714285714286</v>
      </c>
      <c r="E586" s="10">
        <f t="shared" si="140"/>
        <v>9.071428571428571</v>
      </c>
      <c r="F586" s="10">
        <f t="shared" si="140"/>
        <v>8.142857142857142</v>
      </c>
      <c r="G586" s="10">
        <f t="shared" si="140"/>
        <v>13.357142857142858</v>
      </c>
      <c r="H586" s="10">
        <f t="shared" si="140"/>
        <v>13.428571428571429</v>
      </c>
      <c r="I586" s="10">
        <f t="shared" si="140"/>
        <v>10.140816326530613</v>
      </c>
      <c r="K586" s="38"/>
      <c r="L586" s="38"/>
    </row>
    <row r="589" ht="12.75">
      <c r="A589" s="1" t="s">
        <v>369</v>
      </c>
    </row>
    <row r="590" ht="12.75">
      <c r="A590" t="s">
        <v>54</v>
      </c>
    </row>
    <row r="592" spans="2:9" ht="12.75">
      <c r="B592" s="3"/>
      <c r="C592" s="3"/>
      <c r="D592" s="3" t="s">
        <v>41</v>
      </c>
      <c r="E592" s="3" t="s">
        <v>14</v>
      </c>
      <c r="F592" s="3"/>
      <c r="G592" s="3" t="s">
        <v>9</v>
      </c>
      <c r="H592" s="3"/>
      <c r="I592" s="9"/>
    </row>
    <row r="593" spans="2:9" ht="12.75">
      <c r="B593" s="3" t="s">
        <v>1</v>
      </c>
      <c r="C593" s="3" t="s">
        <v>3</v>
      </c>
      <c r="D593" s="3" t="s">
        <v>4</v>
      </c>
      <c r="E593" s="3" t="s">
        <v>5</v>
      </c>
      <c r="F593" s="3" t="s">
        <v>26</v>
      </c>
      <c r="G593" s="3" t="s">
        <v>10</v>
      </c>
      <c r="H593" s="3" t="s">
        <v>6</v>
      </c>
      <c r="I593" s="9"/>
    </row>
    <row r="594" spans="2:9" ht="12.75">
      <c r="B594" s="3" t="s">
        <v>2</v>
      </c>
      <c r="C594" s="3" t="s">
        <v>2</v>
      </c>
      <c r="D594" s="3" t="s">
        <v>2</v>
      </c>
      <c r="E594" s="3" t="s">
        <v>2</v>
      </c>
      <c r="F594" s="3" t="s">
        <v>2</v>
      </c>
      <c r="G594" s="3" t="s">
        <v>2</v>
      </c>
      <c r="H594" s="3" t="s">
        <v>2</v>
      </c>
      <c r="I594" s="21" t="s">
        <v>7</v>
      </c>
    </row>
    <row r="595" ht="12.75">
      <c r="A595" s="4" t="s">
        <v>0</v>
      </c>
    </row>
    <row r="596" spans="1:9" ht="12.75">
      <c r="A596" s="6">
        <v>1</v>
      </c>
      <c r="B596" s="26">
        <v>0.03</v>
      </c>
      <c r="C596" s="26">
        <v>0.06</v>
      </c>
      <c r="D596" s="26">
        <v>0.03</v>
      </c>
      <c r="E596" s="26">
        <v>0.04</v>
      </c>
      <c r="F596" s="26">
        <v>0.06</v>
      </c>
      <c r="G596" s="26">
        <v>0.05</v>
      </c>
      <c r="H596" s="26">
        <v>0.05</v>
      </c>
      <c r="I596" s="27">
        <f aca="true" t="shared" si="141" ref="I596:I603">AVERAGE(B596:H596)</f>
        <v>0.045714285714285714</v>
      </c>
    </row>
    <row r="597" spans="1:9" ht="12.75">
      <c r="A597" s="6">
        <v>10</v>
      </c>
      <c r="B597" s="26">
        <v>0.04</v>
      </c>
      <c r="C597" s="26">
        <v>0.07</v>
      </c>
      <c r="D597" s="26">
        <v>0.03</v>
      </c>
      <c r="E597" s="26">
        <v>0.04</v>
      </c>
      <c r="F597" s="26">
        <v>0.07</v>
      </c>
      <c r="G597" s="26">
        <v>0.05</v>
      </c>
      <c r="H597" s="26">
        <v>0.06</v>
      </c>
      <c r="I597" s="27">
        <f t="shared" si="141"/>
        <v>0.05142857142857143</v>
      </c>
    </row>
    <row r="598" spans="1:9" ht="12.75">
      <c r="A598" s="6">
        <v>100</v>
      </c>
      <c r="B598" s="26">
        <v>0.05</v>
      </c>
      <c r="C598" s="26">
        <v>0.09</v>
      </c>
      <c r="D598" s="26">
        <v>0.04</v>
      </c>
      <c r="E598" s="26">
        <v>0.05</v>
      </c>
      <c r="F598" s="26">
        <v>0.08</v>
      </c>
      <c r="G598" s="26">
        <v>0.06</v>
      </c>
      <c r="H598" s="26">
        <v>0.08</v>
      </c>
      <c r="I598" s="27">
        <f t="shared" si="141"/>
        <v>0.0642857142857143</v>
      </c>
    </row>
    <row r="599" spans="1:9" ht="12.75">
      <c r="A599" s="6">
        <v>1000</v>
      </c>
      <c r="B599" s="26">
        <v>0.08</v>
      </c>
      <c r="C599" s="26">
        <v>0.08</v>
      </c>
      <c r="D599" s="26">
        <v>0.05</v>
      </c>
      <c r="E599" s="26">
        <v>0.06</v>
      </c>
      <c r="F599" s="26">
        <v>0.1</v>
      </c>
      <c r="G599" s="26">
        <v>0.08</v>
      </c>
      <c r="H599" s="26">
        <v>0.09</v>
      </c>
      <c r="I599" s="27">
        <f t="shared" si="141"/>
        <v>0.07714285714285715</v>
      </c>
    </row>
    <row r="600" spans="1:9" ht="12.75">
      <c r="A600" s="6">
        <v>10000</v>
      </c>
      <c r="B600" s="26">
        <v>0.07</v>
      </c>
      <c r="C600" s="26">
        <v>0.1</v>
      </c>
      <c r="D600" s="26">
        <v>0.06</v>
      </c>
      <c r="E600" s="26">
        <v>0.05</v>
      </c>
      <c r="F600" s="26">
        <v>0.09</v>
      </c>
      <c r="G600" s="26">
        <v>0.09</v>
      </c>
      <c r="H600" s="26">
        <v>0.08</v>
      </c>
      <c r="I600" s="27">
        <f t="shared" si="141"/>
        <v>0.07714285714285714</v>
      </c>
    </row>
    <row r="601" spans="1:9" ht="12.75">
      <c r="A601" s="6">
        <v>100000</v>
      </c>
      <c r="B601" s="26">
        <v>0.035</v>
      </c>
      <c r="C601" s="26">
        <v>0.05</v>
      </c>
      <c r="D601" s="26">
        <v>0.03</v>
      </c>
      <c r="E601" s="26">
        <v>0.04</v>
      </c>
      <c r="F601" s="26">
        <v>0.07</v>
      </c>
      <c r="G601" s="26">
        <v>0.08</v>
      </c>
      <c r="H601" s="26">
        <v>0.09</v>
      </c>
      <c r="I601" s="27">
        <f t="shared" si="141"/>
        <v>0.05642857142857143</v>
      </c>
    </row>
    <row r="602" spans="1:9" ht="12.75">
      <c r="A602" s="7">
        <v>1000000</v>
      </c>
      <c r="B602" s="26">
        <v>0.02</v>
      </c>
      <c r="C602" s="26">
        <v>0.025</v>
      </c>
      <c r="D602" s="26">
        <v>0.0175</v>
      </c>
      <c r="E602" s="26">
        <v>0.03</v>
      </c>
      <c r="F602" s="26">
        <v>0.035</v>
      </c>
      <c r="G602" s="26">
        <v>0.0375</v>
      </c>
      <c r="H602" s="26">
        <v>0.04</v>
      </c>
      <c r="I602" s="27">
        <f t="shared" si="141"/>
        <v>0.029285714285714286</v>
      </c>
    </row>
    <row r="603" spans="1:9" ht="12.75">
      <c r="A603" s="9" t="s">
        <v>7</v>
      </c>
      <c r="B603" s="27">
        <f aca="true" t="shared" si="142" ref="B603:H603">AVERAGE(B596:B602)</f>
        <v>0.04642857142857144</v>
      </c>
      <c r="C603" s="27">
        <f t="shared" si="142"/>
        <v>0.06785714285714287</v>
      </c>
      <c r="D603" s="27">
        <f t="shared" si="142"/>
        <v>0.03678571428571429</v>
      </c>
      <c r="E603" s="27">
        <f t="shared" si="142"/>
        <v>0.044285714285714275</v>
      </c>
      <c r="F603" s="27">
        <f t="shared" si="142"/>
        <v>0.07214285714285715</v>
      </c>
      <c r="G603" s="27">
        <f t="shared" si="142"/>
        <v>0.06392857142857142</v>
      </c>
      <c r="H603" s="27">
        <f t="shared" si="142"/>
        <v>0.07</v>
      </c>
      <c r="I603" s="27">
        <f t="shared" si="141"/>
        <v>0.057346938775510205</v>
      </c>
    </row>
    <row r="606" ht="12.75">
      <c r="A606" s="1" t="s">
        <v>370</v>
      </c>
    </row>
    <row r="607" ht="12.75">
      <c r="A607" s="29" t="s">
        <v>111</v>
      </c>
    </row>
    <row r="609" spans="2:9" ht="12.75">
      <c r="B609" s="3"/>
      <c r="C609" s="3"/>
      <c r="D609" s="3" t="s">
        <v>41</v>
      </c>
      <c r="E609" s="3" t="s">
        <v>14</v>
      </c>
      <c r="F609" s="3"/>
      <c r="G609" s="3" t="s">
        <v>9</v>
      </c>
      <c r="H609" s="3"/>
      <c r="I609" s="9"/>
    </row>
    <row r="610" spans="2:9" ht="12.75">
      <c r="B610" s="3" t="s">
        <v>1</v>
      </c>
      <c r="C610" s="3" t="s">
        <v>3</v>
      </c>
      <c r="D610" s="3" t="s">
        <v>4</v>
      </c>
      <c r="E610" s="3" t="s">
        <v>5</v>
      </c>
      <c r="F610" s="3" t="s">
        <v>26</v>
      </c>
      <c r="G610" s="3" t="s">
        <v>10</v>
      </c>
      <c r="H610" s="3" t="s">
        <v>6</v>
      </c>
      <c r="I610" s="9"/>
    </row>
    <row r="611" spans="2:9" ht="12.75">
      <c r="B611" s="3" t="s">
        <v>2</v>
      </c>
      <c r="C611" s="3" t="s">
        <v>2</v>
      </c>
      <c r="D611" s="3" t="s">
        <v>2</v>
      </c>
      <c r="E611" s="3" t="s">
        <v>2</v>
      </c>
      <c r="F611" s="3" t="s">
        <v>2</v>
      </c>
      <c r="G611" s="3" t="s">
        <v>2</v>
      </c>
      <c r="H611" s="3" t="s">
        <v>2</v>
      </c>
      <c r="I611" s="21" t="s">
        <v>7</v>
      </c>
    </row>
    <row r="612" ht="12.75">
      <c r="A612" s="4" t="s">
        <v>0</v>
      </c>
    </row>
    <row r="613" spans="1:9" ht="12.75">
      <c r="A613" s="6">
        <v>1</v>
      </c>
      <c r="B613">
        <f aca="true" t="shared" si="143" ref="B613:B619">A613*B596</f>
        <v>0.03</v>
      </c>
      <c r="C613">
        <f aca="true" t="shared" si="144" ref="C613:C619">A613*C596</f>
        <v>0.06</v>
      </c>
      <c r="D613">
        <f aca="true" t="shared" si="145" ref="D613:D619">A613*D596</f>
        <v>0.03</v>
      </c>
      <c r="E613">
        <f aca="true" t="shared" si="146" ref="E613:E619">A613*E596</f>
        <v>0.04</v>
      </c>
      <c r="F613">
        <f aca="true" t="shared" si="147" ref="F613:F619">A613*F596</f>
        <v>0.06</v>
      </c>
      <c r="G613">
        <f aca="true" t="shared" si="148" ref="G613:G619">A613*G596</f>
        <v>0.05</v>
      </c>
      <c r="H613">
        <f aca="true" t="shared" si="149" ref="H613:H619">A613*H596</f>
        <v>0.05</v>
      </c>
      <c r="I613" s="39">
        <f>AVERAGE(B602:H602)</f>
        <v>0.029285714285714286</v>
      </c>
    </row>
    <row r="614" spans="1:9" ht="12.75">
      <c r="A614" s="6">
        <v>10</v>
      </c>
      <c r="B614">
        <f t="shared" si="143"/>
        <v>0.4</v>
      </c>
      <c r="C614">
        <f t="shared" si="144"/>
        <v>0.7000000000000001</v>
      </c>
      <c r="D614">
        <f t="shared" si="145"/>
        <v>0.3</v>
      </c>
      <c r="E614">
        <f t="shared" si="146"/>
        <v>0.4</v>
      </c>
      <c r="F614">
        <f t="shared" si="147"/>
        <v>0.7000000000000001</v>
      </c>
      <c r="G614">
        <f t="shared" si="148"/>
        <v>0.5</v>
      </c>
      <c r="H614">
        <f t="shared" si="149"/>
        <v>0.6</v>
      </c>
      <c r="I614" s="39">
        <f>AVERAGE(B603:H603)</f>
        <v>0.057346938775510205</v>
      </c>
    </row>
    <row r="615" spans="1:9" ht="12.75">
      <c r="A615" s="6">
        <v>100</v>
      </c>
      <c r="B615" s="6">
        <f t="shared" si="143"/>
        <v>5</v>
      </c>
      <c r="C615" s="6">
        <f t="shared" si="144"/>
        <v>9</v>
      </c>
      <c r="D615" s="6">
        <f t="shared" si="145"/>
        <v>4</v>
      </c>
      <c r="E615" s="6">
        <f t="shared" si="146"/>
        <v>5</v>
      </c>
      <c r="F615" s="6">
        <f t="shared" si="147"/>
        <v>8</v>
      </c>
      <c r="G615" s="6">
        <f t="shared" si="148"/>
        <v>6</v>
      </c>
      <c r="H615" s="6">
        <f t="shared" si="149"/>
        <v>8</v>
      </c>
      <c r="I615" s="25">
        <f aca="true" t="shared" si="150" ref="I615:I620">AVERAGE(B615:H615)</f>
        <v>6.428571428571429</v>
      </c>
    </row>
    <row r="616" spans="1:9" ht="12.75">
      <c r="A616" s="6">
        <v>1000</v>
      </c>
      <c r="B616" s="6">
        <f t="shared" si="143"/>
        <v>80</v>
      </c>
      <c r="C616" s="6">
        <f t="shared" si="144"/>
        <v>80</v>
      </c>
      <c r="D616" s="6">
        <f t="shared" si="145"/>
        <v>50</v>
      </c>
      <c r="E616" s="6">
        <f t="shared" si="146"/>
        <v>60</v>
      </c>
      <c r="F616" s="6">
        <f t="shared" si="147"/>
        <v>100</v>
      </c>
      <c r="G616" s="6">
        <f t="shared" si="148"/>
        <v>80</v>
      </c>
      <c r="H616" s="6">
        <f t="shared" si="149"/>
        <v>90</v>
      </c>
      <c r="I616" s="25">
        <f t="shared" si="150"/>
        <v>77.14285714285714</v>
      </c>
    </row>
    <row r="617" spans="1:9" ht="12.75">
      <c r="A617" s="6">
        <v>10000</v>
      </c>
      <c r="B617" s="6">
        <f t="shared" si="143"/>
        <v>700.0000000000001</v>
      </c>
      <c r="C617" s="6">
        <f t="shared" si="144"/>
        <v>1000</v>
      </c>
      <c r="D617" s="6">
        <f t="shared" si="145"/>
        <v>600</v>
      </c>
      <c r="E617" s="6">
        <f t="shared" si="146"/>
        <v>500</v>
      </c>
      <c r="F617" s="6">
        <f t="shared" si="147"/>
        <v>900</v>
      </c>
      <c r="G617" s="6">
        <f t="shared" si="148"/>
        <v>900</v>
      </c>
      <c r="H617" s="6">
        <f t="shared" si="149"/>
        <v>800</v>
      </c>
      <c r="I617" s="25">
        <f t="shared" si="150"/>
        <v>771.4285714285714</v>
      </c>
    </row>
    <row r="618" spans="1:9" ht="12.75">
      <c r="A618" s="6">
        <v>100000</v>
      </c>
      <c r="B618" s="6">
        <f t="shared" si="143"/>
        <v>3500.0000000000005</v>
      </c>
      <c r="C618" s="6">
        <f t="shared" si="144"/>
        <v>5000</v>
      </c>
      <c r="D618" s="6">
        <f t="shared" si="145"/>
        <v>3000</v>
      </c>
      <c r="E618" s="6">
        <f t="shared" si="146"/>
        <v>4000</v>
      </c>
      <c r="F618" s="6">
        <f t="shared" si="147"/>
        <v>7000.000000000001</v>
      </c>
      <c r="G618" s="6">
        <f t="shared" si="148"/>
        <v>8000</v>
      </c>
      <c r="H618" s="6">
        <f t="shared" si="149"/>
        <v>9000</v>
      </c>
      <c r="I618" s="25">
        <f t="shared" si="150"/>
        <v>5642.857142857143</v>
      </c>
    </row>
    <row r="619" spans="1:9" ht="12.75">
      <c r="A619" s="7">
        <v>1000000</v>
      </c>
      <c r="B619" s="6">
        <f t="shared" si="143"/>
        <v>20000</v>
      </c>
      <c r="C619" s="6">
        <f t="shared" si="144"/>
        <v>25000</v>
      </c>
      <c r="D619" s="6">
        <f t="shared" si="145"/>
        <v>17500</v>
      </c>
      <c r="E619" s="6">
        <f t="shared" si="146"/>
        <v>30000</v>
      </c>
      <c r="F619" s="6">
        <f t="shared" si="147"/>
        <v>35000</v>
      </c>
      <c r="G619" s="6">
        <f t="shared" si="148"/>
        <v>37500</v>
      </c>
      <c r="H619" s="6">
        <f t="shared" si="149"/>
        <v>40000</v>
      </c>
      <c r="I619" s="25">
        <f t="shared" si="150"/>
        <v>29285.714285714286</v>
      </c>
    </row>
    <row r="620" spans="1:9" ht="12.75">
      <c r="A620" s="9" t="s">
        <v>7</v>
      </c>
      <c r="B620" s="25">
        <f aca="true" t="shared" si="151" ref="B620:H620">AVERAGE(B613:B619)</f>
        <v>3469.347142857143</v>
      </c>
      <c r="C620" s="25">
        <f t="shared" si="151"/>
        <v>4441.394285714286</v>
      </c>
      <c r="D620" s="25">
        <f t="shared" si="151"/>
        <v>3022.047142857143</v>
      </c>
      <c r="E620" s="25">
        <f t="shared" si="151"/>
        <v>4937.92</v>
      </c>
      <c r="F620" s="25">
        <f t="shared" si="151"/>
        <v>6144.108571428572</v>
      </c>
      <c r="G620" s="25">
        <f t="shared" si="151"/>
        <v>6640.935714285714</v>
      </c>
      <c r="H620" s="25">
        <f t="shared" si="151"/>
        <v>7128.378571428571</v>
      </c>
      <c r="I620" s="25">
        <f t="shared" si="150"/>
        <v>5112.018775510204</v>
      </c>
    </row>
    <row r="623" ht="12.75">
      <c r="A623" s="1" t="s">
        <v>371</v>
      </c>
    </row>
    <row r="624" ht="12.75">
      <c r="A624" s="29" t="s">
        <v>387</v>
      </c>
    </row>
    <row r="626" spans="2:9" ht="12.75">
      <c r="B626" s="3"/>
      <c r="C626" s="3"/>
      <c r="D626" s="3" t="s">
        <v>41</v>
      </c>
      <c r="E626" s="3" t="s">
        <v>14</v>
      </c>
      <c r="F626" s="3"/>
      <c r="G626" s="3" t="s">
        <v>9</v>
      </c>
      <c r="H626" s="3"/>
      <c r="I626" s="9"/>
    </row>
    <row r="627" spans="2:9" ht="12.75">
      <c r="B627" s="3" t="s">
        <v>1</v>
      </c>
      <c r="C627" s="3" t="s">
        <v>3</v>
      </c>
      <c r="D627" s="3" t="s">
        <v>4</v>
      </c>
      <c r="E627" s="3" t="s">
        <v>5</v>
      </c>
      <c r="F627" s="3" t="s">
        <v>26</v>
      </c>
      <c r="G627" s="3" t="s">
        <v>10</v>
      </c>
      <c r="H627" s="3" t="s">
        <v>6</v>
      </c>
      <c r="I627" s="9"/>
    </row>
    <row r="628" spans="2:9" ht="12.75">
      <c r="B628" s="3" t="s">
        <v>2</v>
      </c>
      <c r="C628" s="3" t="s">
        <v>2</v>
      </c>
      <c r="D628" s="3" t="s">
        <v>2</v>
      </c>
      <c r="E628" s="3" t="s">
        <v>2</v>
      </c>
      <c r="F628" s="3" t="s">
        <v>2</v>
      </c>
      <c r="G628" s="3" t="s">
        <v>2</v>
      </c>
      <c r="H628" s="3" t="s">
        <v>2</v>
      </c>
      <c r="I628" s="21" t="s">
        <v>7</v>
      </c>
    </row>
    <row r="629" ht="12.75">
      <c r="A629" s="4" t="s">
        <v>0</v>
      </c>
    </row>
    <row r="630" spans="1:9" ht="12.75">
      <c r="A630" s="6">
        <v>1</v>
      </c>
      <c r="B630">
        <f aca="true" t="shared" si="152" ref="B630:H636">B579*B613</f>
        <v>0.041999999999999996</v>
      </c>
      <c r="C630">
        <f t="shared" si="152"/>
        <v>0.06</v>
      </c>
      <c r="D630">
        <f t="shared" si="152"/>
        <v>0.045</v>
      </c>
      <c r="E630">
        <f t="shared" si="152"/>
        <v>0.12</v>
      </c>
      <c r="F630">
        <f t="shared" si="152"/>
        <v>0.12</v>
      </c>
      <c r="G630">
        <f t="shared" si="152"/>
        <v>0.1</v>
      </c>
      <c r="H630">
        <f t="shared" si="152"/>
        <v>0.15000000000000002</v>
      </c>
      <c r="I630" s="39">
        <f aca="true" t="shared" si="153" ref="I630:I637">AVERAGE(B630:H630)</f>
        <v>0.091</v>
      </c>
    </row>
    <row r="631" spans="1:9" ht="12.75">
      <c r="A631" s="6">
        <v>10</v>
      </c>
      <c r="B631">
        <f t="shared" si="152"/>
        <v>1</v>
      </c>
      <c r="C631">
        <f t="shared" si="152"/>
        <v>1.4000000000000001</v>
      </c>
      <c r="D631">
        <f t="shared" si="152"/>
        <v>0.8999999999999999</v>
      </c>
      <c r="E631">
        <f t="shared" si="152"/>
        <v>1.6</v>
      </c>
      <c r="F631">
        <f t="shared" si="152"/>
        <v>2.1</v>
      </c>
      <c r="G631">
        <f t="shared" si="152"/>
        <v>2</v>
      </c>
      <c r="H631">
        <f t="shared" si="152"/>
        <v>2.4</v>
      </c>
      <c r="I631" s="39">
        <f t="shared" si="153"/>
        <v>1.6285714285714286</v>
      </c>
    </row>
    <row r="632" spans="1:9" ht="12.75">
      <c r="A632" s="6">
        <v>100</v>
      </c>
      <c r="B632" s="6">
        <f t="shared" si="152"/>
        <v>20</v>
      </c>
      <c r="C632" s="6">
        <f t="shared" si="152"/>
        <v>27</v>
      </c>
      <c r="D632" s="6">
        <f t="shared" si="152"/>
        <v>18</v>
      </c>
      <c r="E632" s="6">
        <f t="shared" si="152"/>
        <v>22.5</v>
      </c>
      <c r="F632" s="6">
        <f t="shared" si="152"/>
        <v>32</v>
      </c>
      <c r="G632" s="6">
        <f t="shared" si="152"/>
        <v>33</v>
      </c>
      <c r="H632" s="6">
        <f t="shared" si="152"/>
        <v>40</v>
      </c>
      <c r="I632" s="25">
        <f t="shared" si="153"/>
        <v>27.5</v>
      </c>
    </row>
    <row r="633" spans="1:9" ht="12.75">
      <c r="A633" s="6">
        <v>1000</v>
      </c>
      <c r="B633" s="6">
        <f t="shared" si="152"/>
        <v>400</v>
      </c>
      <c r="C633" s="6">
        <f t="shared" si="152"/>
        <v>320</v>
      </c>
      <c r="D633" s="6">
        <f t="shared" si="152"/>
        <v>250</v>
      </c>
      <c r="E633" s="6">
        <f t="shared" si="152"/>
        <v>360</v>
      </c>
      <c r="F633" s="6">
        <f t="shared" si="152"/>
        <v>500</v>
      </c>
      <c r="G633" s="6">
        <f t="shared" si="152"/>
        <v>640</v>
      </c>
      <c r="H633" s="6">
        <f t="shared" si="152"/>
        <v>810</v>
      </c>
      <c r="I633" s="25">
        <f t="shared" si="153"/>
        <v>468.57142857142856</v>
      </c>
    </row>
    <row r="634" spans="1:9" ht="12.75">
      <c r="A634" s="6">
        <v>10000</v>
      </c>
      <c r="B634" s="6">
        <f t="shared" si="152"/>
        <v>12600.000000000002</v>
      </c>
      <c r="C634" s="6">
        <f t="shared" si="152"/>
        <v>9000</v>
      </c>
      <c r="D634" s="6">
        <f t="shared" si="152"/>
        <v>8400</v>
      </c>
      <c r="E634" s="6">
        <f t="shared" si="152"/>
        <v>6500</v>
      </c>
      <c r="F634" s="6">
        <f t="shared" si="152"/>
        <v>8100</v>
      </c>
      <c r="G634" s="6">
        <f t="shared" si="152"/>
        <v>19800</v>
      </c>
      <c r="H634" s="6">
        <f t="shared" si="152"/>
        <v>18400</v>
      </c>
      <c r="I634" s="25">
        <f t="shared" si="153"/>
        <v>11828.57142857143</v>
      </c>
    </row>
    <row r="635" spans="1:9" ht="12.75">
      <c r="A635" s="6">
        <v>100000</v>
      </c>
      <c r="B635" s="6">
        <f t="shared" si="152"/>
        <v>70000.00000000001</v>
      </c>
      <c r="C635" s="6">
        <f t="shared" si="152"/>
        <v>50000</v>
      </c>
      <c r="D635" s="6">
        <f t="shared" si="152"/>
        <v>51000</v>
      </c>
      <c r="E635" s="6">
        <f t="shared" si="152"/>
        <v>60000</v>
      </c>
      <c r="F635" s="6">
        <f t="shared" si="152"/>
        <v>98000.00000000001</v>
      </c>
      <c r="G635" s="6">
        <f t="shared" si="152"/>
        <v>192000</v>
      </c>
      <c r="H635" s="6">
        <f t="shared" si="152"/>
        <v>216000</v>
      </c>
      <c r="I635" s="25">
        <f t="shared" si="153"/>
        <v>105285.71428571429</v>
      </c>
    </row>
    <row r="636" spans="1:9" ht="12.75">
      <c r="A636" s="7">
        <v>1000000</v>
      </c>
      <c r="B636" s="6">
        <f t="shared" si="152"/>
        <v>500000</v>
      </c>
      <c r="C636" s="6">
        <f t="shared" si="152"/>
        <v>300000</v>
      </c>
      <c r="D636" s="6">
        <f t="shared" si="152"/>
        <v>472500</v>
      </c>
      <c r="E636" s="6">
        <f t="shared" si="152"/>
        <v>540000</v>
      </c>
      <c r="F636" s="6">
        <f t="shared" si="152"/>
        <v>700000</v>
      </c>
      <c r="G636" s="6">
        <f t="shared" si="152"/>
        <v>1050000</v>
      </c>
      <c r="H636" s="6">
        <f t="shared" si="152"/>
        <v>1040000</v>
      </c>
      <c r="I636" s="25">
        <f t="shared" si="153"/>
        <v>657500</v>
      </c>
    </row>
    <row r="637" spans="1:9" ht="12.75">
      <c r="A637" s="9" t="s">
        <v>7</v>
      </c>
      <c r="B637" s="25">
        <f aca="true" t="shared" si="154" ref="B637:H637">AVERAGE(B630:B636)</f>
        <v>83288.72028571428</v>
      </c>
      <c r="C637" s="25">
        <f t="shared" si="154"/>
        <v>51335.49428571429</v>
      </c>
      <c r="D637" s="25">
        <f t="shared" si="154"/>
        <v>76024.135</v>
      </c>
      <c r="E637" s="25">
        <f t="shared" si="154"/>
        <v>86697.74571428572</v>
      </c>
      <c r="F637" s="25">
        <f t="shared" si="154"/>
        <v>115233.45999999999</v>
      </c>
      <c r="G637" s="25">
        <f t="shared" si="154"/>
        <v>180353.58571428573</v>
      </c>
      <c r="H637" s="25">
        <f t="shared" si="154"/>
        <v>182178.93571428573</v>
      </c>
      <c r="I637" s="25">
        <f t="shared" si="153"/>
        <v>110730.29667346938</v>
      </c>
    </row>
    <row r="640" ht="12.75">
      <c r="A640" s="1" t="s">
        <v>372</v>
      </c>
    </row>
    <row r="641" ht="12.75">
      <c r="A641" s="29" t="s">
        <v>86</v>
      </c>
    </row>
    <row r="643" spans="2:9" ht="12.75">
      <c r="B643" s="3"/>
      <c r="C643" s="3"/>
      <c r="D643" s="3" t="s">
        <v>41</v>
      </c>
      <c r="E643" s="3" t="s">
        <v>14</v>
      </c>
      <c r="F643" s="3"/>
      <c r="G643" s="3" t="s">
        <v>9</v>
      </c>
      <c r="H643" s="3"/>
      <c r="I643" s="9"/>
    </row>
    <row r="644" spans="2:9" ht="12.75">
      <c r="B644" s="3" t="s">
        <v>1</v>
      </c>
      <c r="C644" s="3" t="s">
        <v>3</v>
      </c>
      <c r="D644" s="3" t="s">
        <v>4</v>
      </c>
      <c r="E644" s="3" t="s">
        <v>5</v>
      </c>
      <c r="F644" s="3" t="s">
        <v>26</v>
      </c>
      <c r="G644" s="3" t="s">
        <v>10</v>
      </c>
      <c r="H644" s="3" t="s">
        <v>6</v>
      </c>
      <c r="I644" s="9"/>
    </row>
    <row r="645" spans="2:9" ht="12.75">
      <c r="B645" s="3" t="s">
        <v>2</v>
      </c>
      <c r="C645" s="3" t="s">
        <v>2</v>
      </c>
      <c r="D645" s="3" t="s">
        <v>2</v>
      </c>
      <c r="E645" s="3" t="s">
        <v>2</v>
      </c>
      <c r="F645" s="3" t="s">
        <v>2</v>
      </c>
      <c r="G645" s="3" t="s">
        <v>2</v>
      </c>
      <c r="H645" s="3" t="s">
        <v>2</v>
      </c>
      <c r="I645" s="21" t="s">
        <v>7</v>
      </c>
    </row>
    <row r="646" ht="12.75">
      <c r="A646" s="4" t="s">
        <v>0</v>
      </c>
    </row>
    <row r="647" spans="1:9" ht="12.75">
      <c r="A647" s="6">
        <v>1</v>
      </c>
      <c r="B647" s="26">
        <v>0.1</v>
      </c>
      <c r="C647" s="26">
        <v>0.07</v>
      </c>
      <c r="D647" s="26">
        <v>0.06</v>
      </c>
      <c r="E647" s="26">
        <v>0.05</v>
      </c>
      <c r="F647" s="26">
        <v>0.05</v>
      </c>
      <c r="G647" s="26">
        <v>0.12</v>
      </c>
      <c r="H647" s="26">
        <v>0.05</v>
      </c>
      <c r="I647" s="27">
        <f aca="true" t="shared" si="155" ref="I647:I654">AVERAGE(B647:H647)</f>
        <v>0.07142857142857142</v>
      </c>
    </row>
    <row r="648" spans="1:9" ht="12.75">
      <c r="A648" s="6">
        <v>10</v>
      </c>
      <c r="B648" s="26">
        <v>0.12</v>
      </c>
      <c r="C648" s="26">
        <v>0.13</v>
      </c>
      <c r="D648" s="26">
        <v>0.09</v>
      </c>
      <c r="E648" s="26">
        <v>0.07</v>
      </c>
      <c r="F648" s="26">
        <v>0.1</v>
      </c>
      <c r="G648" s="26">
        <v>0.15</v>
      </c>
      <c r="H648" s="26">
        <v>0.07</v>
      </c>
      <c r="I648" s="27">
        <f t="shared" si="155"/>
        <v>0.10428571428571429</v>
      </c>
    </row>
    <row r="649" spans="1:9" ht="12.75">
      <c r="A649" s="6">
        <v>100</v>
      </c>
      <c r="B649" s="26">
        <v>0.18</v>
      </c>
      <c r="C649" s="26">
        <v>0.2</v>
      </c>
      <c r="D649" s="26">
        <v>0.12</v>
      </c>
      <c r="E649" s="26">
        <v>0.1</v>
      </c>
      <c r="F649" s="26">
        <v>0.15</v>
      </c>
      <c r="G649" s="26">
        <v>0.2</v>
      </c>
      <c r="H649" s="26">
        <v>0.09</v>
      </c>
      <c r="I649" s="27">
        <f t="shared" si="155"/>
        <v>0.14857142857142858</v>
      </c>
    </row>
    <row r="650" spans="1:9" ht="12.75">
      <c r="A650" s="6">
        <v>1000</v>
      </c>
      <c r="B650" s="26">
        <v>0.35</v>
      </c>
      <c r="C650" s="26">
        <v>0.35</v>
      </c>
      <c r="D650" s="26">
        <v>0.25</v>
      </c>
      <c r="E650" s="26">
        <v>0.15</v>
      </c>
      <c r="F650" s="26">
        <v>0.2</v>
      </c>
      <c r="G650" s="26">
        <v>0.25</v>
      </c>
      <c r="H650" s="26">
        <v>0.12</v>
      </c>
      <c r="I650" s="27">
        <f t="shared" si="155"/>
        <v>0.23857142857142857</v>
      </c>
    </row>
    <row r="651" spans="1:9" ht="12.75">
      <c r="A651" s="6">
        <v>10000</v>
      </c>
      <c r="B651" s="26">
        <v>0.55</v>
      </c>
      <c r="C651" s="26">
        <v>0.4</v>
      </c>
      <c r="D651" s="26">
        <v>0.35</v>
      </c>
      <c r="E651" s="26">
        <v>0.25</v>
      </c>
      <c r="F651" s="26">
        <v>0.37</v>
      </c>
      <c r="G651" s="26">
        <v>0.6</v>
      </c>
      <c r="H651" s="26">
        <v>0.25</v>
      </c>
      <c r="I651" s="27">
        <f t="shared" si="155"/>
        <v>0.39571428571428574</v>
      </c>
    </row>
    <row r="652" spans="1:9" ht="12.75">
      <c r="A652" s="6">
        <v>100000</v>
      </c>
      <c r="B652" s="26">
        <v>0.75</v>
      </c>
      <c r="C652" s="26">
        <v>0.45</v>
      </c>
      <c r="D652" s="26">
        <v>0.5</v>
      </c>
      <c r="E652" s="26">
        <v>0.3</v>
      </c>
      <c r="F652" s="26">
        <v>0.45</v>
      </c>
      <c r="G652" s="26">
        <v>0.78</v>
      </c>
      <c r="H652" s="26">
        <v>0.3</v>
      </c>
      <c r="I652" s="27">
        <f t="shared" si="155"/>
        <v>0.5042857142857143</v>
      </c>
    </row>
    <row r="653" spans="1:9" ht="12.75">
      <c r="A653" s="7">
        <v>1000000</v>
      </c>
      <c r="B653" s="26">
        <v>0.85</v>
      </c>
      <c r="C653" s="26">
        <v>0.5</v>
      </c>
      <c r="D653" s="26">
        <v>0.55</v>
      </c>
      <c r="E653" s="26">
        <v>0.4</v>
      </c>
      <c r="F653" s="26">
        <v>0.55</v>
      </c>
      <c r="G653" s="26">
        <v>0.88</v>
      </c>
      <c r="H653" s="26">
        <v>0.35</v>
      </c>
      <c r="I653" s="27">
        <f t="shared" si="155"/>
        <v>0.5828571428571429</v>
      </c>
    </row>
    <row r="654" spans="1:9" ht="12.75">
      <c r="A654" s="9" t="s">
        <v>7</v>
      </c>
      <c r="B654" s="27">
        <f aca="true" t="shared" si="156" ref="B654:H654">AVERAGE(B647:B653)</f>
        <v>0.41428571428571426</v>
      </c>
      <c r="C654" s="27">
        <f t="shared" si="156"/>
        <v>0.29999999999999993</v>
      </c>
      <c r="D654" s="27">
        <f t="shared" si="156"/>
        <v>0.2742857142857143</v>
      </c>
      <c r="E654" s="27">
        <f t="shared" si="156"/>
        <v>0.18857142857142856</v>
      </c>
      <c r="F654" s="27">
        <f t="shared" si="156"/>
        <v>0.2671428571428572</v>
      </c>
      <c r="G654" s="27">
        <f t="shared" si="156"/>
        <v>0.42571428571428566</v>
      </c>
      <c r="H654" s="27">
        <f t="shared" si="156"/>
        <v>0.1757142857142857</v>
      </c>
      <c r="I654" s="27">
        <f t="shared" si="155"/>
        <v>0.2922448979591836</v>
      </c>
    </row>
    <row r="657" ht="12.75">
      <c r="A657" s="1" t="s">
        <v>373</v>
      </c>
    </row>
    <row r="658" ht="12.75">
      <c r="A658" s="29" t="s">
        <v>112</v>
      </c>
    </row>
    <row r="660" spans="2:9" ht="12.75">
      <c r="B660" s="3"/>
      <c r="C660" s="3"/>
      <c r="D660" s="3" t="s">
        <v>41</v>
      </c>
      <c r="E660" s="3" t="s">
        <v>14</v>
      </c>
      <c r="F660" s="3"/>
      <c r="G660" s="3" t="s">
        <v>9</v>
      </c>
      <c r="H660" s="3"/>
      <c r="I660" s="9"/>
    </row>
    <row r="661" spans="2:9" ht="12.75">
      <c r="B661" s="3" t="s">
        <v>1</v>
      </c>
      <c r="C661" s="3" t="s">
        <v>3</v>
      </c>
      <c r="D661" s="3" t="s">
        <v>4</v>
      </c>
      <c r="E661" s="3" t="s">
        <v>5</v>
      </c>
      <c r="F661" s="3" t="s">
        <v>26</v>
      </c>
      <c r="G661" s="3" t="s">
        <v>10</v>
      </c>
      <c r="H661" s="3" t="s">
        <v>6</v>
      </c>
      <c r="I661" s="9"/>
    </row>
    <row r="662" spans="2:9" ht="12.75">
      <c r="B662" s="3" t="s">
        <v>2</v>
      </c>
      <c r="C662" s="3" t="s">
        <v>2</v>
      </c>
      <c r="D662" s="3" t="s">
        <v>2</v>
      </c>
      <c r="E662" s="3" t="s">
        <v>2</v>
      </c>
      <c r="F662" s="3" t="s">
        <v>2</v>
      </c>
      <c r="G662" s="3" t="s">
        <v>2</v>
      </c>
      <c r="H662" s="3" t="s">
        <v>2</v>
      </c>
      <c r="I662" s="21" t="s">
        <v>28</v>
      </c>
    </row>
    <row r="663" ht="12.75">
      <c r="A663" s="4" t="s">
        <v>0</v>
      </c>
    </row>
    <row r="664" spans="1:9" ht="12.75">
      <c r="A664" s="6">
        <v>1</v>
      </c>
      <c r="B664" s="6">
        <f aca="true" t="shared" si="157" ref="B664:H664">B347*0.05</f>
        <v>5000</v>
      </c>
      <c r="C664" s="6">
        <f t="shared" si="157"/>
        <v>10000</v>
      </c>
      <c r="D664" s="6">
        <f t="shared" si="157"/>
        <v>3500</v>
      </c>
      <c r="E664" s="6">
        <f t="shared" si="157"/>
        <v>3750</v>
      </c>
      <c r="F664" s="6">
        <f t="shared" si="157"/>
        <v>3000</v>
      </c>
      <c r="G664" s="6">
        <f t="shared" si="157"/>
        <v>2750</v>
      </c>
      <c r="H664" s="6">
        <f t="shared" si="157"/>
        <v>3500</v>
      </c>
      <c r="I664" s="25">
        <f aca="true" t="shared" si="158" ref="I664:I671">SUM(B664:H664)</f>
        <v>31500</v>
      </c>
    </row>
    <row r="665" spans="1:9" ht="12.75">
      <c r="A665" s="6">
        <v>10</v>
      </c>
      <c r="B665" s="6">
        <f aca="true" t="shared" si="159" ref="B665:H665">B348*0.1</f>
        <v>7500</v>
      </c>
      <c r="C665" s="6">
        <f t="shared" si="159"/>
        <v>10000</v>
      </c>
      <c r="D665" s="6">
        <f t="shared" si="159"/>
        <v>4000</v>
      </c>
      <c r="E665" s="6">
        <f t="shared" si="159"/>
        <v>2500</v>
      </c>
      <c r="F665" s="6">
        <f t="shared" si="159"/>
        <v>2500</v>
      </c>
      <c r="G665" s="6">
        <f t="shared" si="159"/>
        <v>2000</v>
      </c>
      <c r="H665" s="6">
        <f t="shared" si="159"/>
        <v>3500</v>
      </c>
      <c r="I665" s="25">
        <f t="shared" si="158"/>
        <v>32000</v>
      </c>
    </row>
    <row r="666" spans="1:9" ht="12.75">
      <c r="A666" s="6">
        <v>100</v>
      </c>
      <c r="B666" s="6">
        <f aca="true" t="shared" si="160" ref="B666:H666">B349*0.12</f>
        <v>3000</v>
      </c>
      <c r="C666" s="6">
        <f t="shared" si="160"/>
        <v>7200</v>
      </c>
      <c r="D666" s="6">
        <f t="shared" si="160"/>
        <v>1500</v>
      </c>
      <c r="E666" s="6">
        <f t="shared" si="160"/>
        <v>1200</v>
      </c>
      <c r="F666" s="6">
        <f t="shared" si="160"/>
        <v>1200</v>
      </c>
      <c r="G666" s="6">
        <f t="shared" si="160"/>
        <v>900</v>
      </c>
      <c r="H666" s="6">
        <f t="shared" si="160"/>
        <v>780</v>
      </c>
      <c r="I666" s="25">
        <f t="shared" si="158"/>
        <v>15780</v>
      </c>
    </row>
    <row r="667" spans="1:9" ht="12.75">
      <c r="A667" s="6">
        <v>1000</v>
      </c>
      <c r="B667" s="6">
        <f aca="true" t="shared" si="161" ref="B667:H667">B350*1.5</f>
        <v>15000</v>
      </c>
      <c r="C667" s="6">
        <f t="shared" si="161"/>
        <v>52500</v>
      </c>
      <c r="D667" s="6">
        <f t="shared" si="161"/>
        <v>10500</v>
      </c>
      <c r="E667" s="6">
        <f t="shared" si="161"/>
        <v>7500</v>
      </c>
      <c r="F667" s="6">
        <f t="shared" si="161"/>
        <v>7500</v>
      </c>
      <c r="G667" s="6">
        <f t="shared" si="161"/>
        <v>6000</v>
      </c>
      <c r="H667" s="6">
        <f t="shared" si="161"/>
        <v>6750</v>
      </c>
      <c r="I667" s="25">
        <f t="shared" si="158"/>
        <v>105750</v>
      </c>
    </row>
    <row r="668" spans="1:9" ht="12.75">
      <c r="A668" s="6">
        <v>10000</v>
      </c>
      <c r="B668" s="6">
        <f aca="true" t="shared" si="162" ref="B668:H668">B351*2</f>
        <v>4000</v>
      </c>
      <c r="C668" s="6">
        <f t="shared" si="162"/>
        <v>15000</v>
      </c>
      <c r="D668" s="6">
        <f t="shared" si="162"/>
        <v>3500</v>
      </c>
      <c r="E668" s="6">
        <f t="shared" si="162"/>
        <v>6000</v>
      </c>
      <c r="F668" s="6">
        <f t="shared" si="162"/>
        <v>5000</v>
      </c>
      <c r="G668" s="6">
        <f t="shared" si="162"/>
        <v>4000</v>
      </c>
      <c r="H668" s="6">
        <f t="shared" si="162"/>
        <v>6000</v>
      </c>
      <c r="I668" s="25">
        <f t="shared" si="158"/>
        <v>43500</v>
      </c>
    </row>
    <row r="669" spans="1:9" ht="12.75">
      <c r="A669" s="6">
        <v>100000</v>
      </c>
      <c r="B669" s="6">
        <f>B352*4</f>
        <v>40</v>
      </c>
      <c r="C669" s="6">
        <f>C352*4</f>
        <v>20</v>
      </c>
      <c r="D669" s="6">
        <f>D352*4</f>
        <v>20</v>
      </c>
      <c r="E669" s="6">
        <f>E352*4</f>
        <v>100</v>
      </c>
      <c r="F669" s="6">
        <f>F352*4</f>
        <v>20</v>
      </c>
      <c r="G669" s="6">
        <f>G352*1.75</f>
        <v>105</v>
      </c>
      <c r="H669" s="6">
        <f>H352*2.5</f>
        <v>187.5</v>
      </c>
      <c r="I669" s="25">
        <f t="shared" si="158"/>
        <v>492.5</v>
      </c>
    </row>
    <row r="670" spans="1:9" ht="12.75">
      <c r="A670" s="7">
        <v>1000000</v>
      </c>
      <c r="B670" s="6">
        <f>B353*5</f>
        <v>1.4874999999999999E-05</v>
      </c>
      <c r="C670" s="6">
        <f>C353*5</f>
        <v>1.7E-05</v>
      </c>
      <c r="D670" s="6">
        <f>D353*5</f>
        <v>9.2E-06</v>
      </c>
      <c r="E670" s="6">
        <f>E353*5</f>
        <v>10</v>
      </c>
      <c r="F670" s="6">
        <f>F353*5</f>
        <v>15</v>
      </c>
      <c r="G670" s="6">
        <f>G353*2.55</f>
        <v>12.75</v>
      </c>
      <c r="H670" s="6">
        <f>H353*2.75</f>
        <v>55</v>
      </c>
      <c r="I670" s="25">
        <f t="shared" si="158"/>
        <v>92.750041075</v>
      </c>
    </row>
    <row r="671" spans="1:9" ht="12.75">
      <c r="A671" s="9" t="s">
        <v>28</v>
      </c>
      <c r="B671" s="25">
        <f aca="true" t="shared" si="163" ref="B671:H671">SUM(B664:B670)</f>
        <v>34540.000014875</v>
      </c>
      <c r="C671" s="25">
        <f t="shared" si="163"/>
        <v>94720.000017</v>
      </c>
      <c r="D671" s="25">
        <f t="shared" si="163"/>
        <v>23020.0000092</v>
      </c>
      <c r="E671" s="25">
        <f t="shared" si="163"/>
        <v>21060</v>
      </c>
      <c r="F671" s="25">
        <f t="shared" si="163"/>
        <v>19235</v>
      </c>
      <c r="G671" s="25">
        <f t="shared" si="163"/>
        <v>15767.75</v>
      </c>
      <c r="H671" s="25">
        <f t="shared" si="163"/>
        <v>20772.5</v>
      </c>
      <c r="I671" s="25">
        <f t="shared" si="158"/>
        <v>229115.250041075</v>
      </c>
    </row>
    <row r="674" ht="12.75">
      <c r="A674" s="1" t="s">
        <v>374</v>
      </c>
    </row>
    <row r="675" ht="12.75">
      <c r="A675" t="s">
        <v>84</v>
      </c>
    </row>
    <row r="676" ht="12.75">
      <c r="A676" t="s">
        <v>85</v>
      </c>
    </row>
    <row r="678" spans="2:9" ht="12.75">
      <c r="B678" s="3"/>
      <c r="C678" s="3"/>
      <c r="D678" s="3" t="s">
        <v>41</v>
      </c>
      <c r="E678" s="3" t="s">
        <v>14</v>
      </c>
      <c r="F678" s="3"/>
      <c r="G678" s="3" t="s">
        <v>9</v>
      </c>
      <c r="H678" s="3"/>
      <c r="I678" s="9"/>
    </row>
    <row r="679" spans="2:9" ht="12.75">
      <c r="B679" s="3" t="s">
        <v>1</v>
      </c>
      <c r="C679" s="3" t="s">
        <v>3</v>
      </c>
      <c r="D679" s="3" t="s">
        <v>4</v>
      </c>
      <c r="E679" s="3" t="s">
        <v>5</v>
      </c>
      <c r="F679" s="3" t="s">
        <v>26</v>
      </c>
      <c r="G679" s="3" t="s">
        <v>10</v>
      </c>
      <c r="H679" s="3" t="s">
        <v>6</v>
      </c>
      <c r="I679" s="9"/>
    </row>
    <row r="680" spans="2:9" ht="12.75">
      <c r="B680" s="3" t="s">
        <v>2</v>
      </c>
      <c r="C680" s="3" t="s">
        <v>2</v>
      </c>
      <c r="D680" s="3" t="s">
        <v>2</v>
      </c>
      <c r="E680" s="3" t="s">
        <v>2</v>
      </c>
      <c r="F680" s="3" t="s">
        <v>2</v>
      </c>
      <c r="G680" s="3" t="s">
        <v>2</v>
      </c>
      <c r="H680" s="3" t="s">
        <v>2</v>
      </c>
      <c r="I680" s="21" t="s">
        <v>7</v>
      </c>
    </row>
    <row r="681" ht="12.75">
      <c r="A681" s="4" t="s">
        <v>0</v>
      </c>
    </row>
    <row r="682" spans="1:9" ht="12.75">
      <c r="A682" s="6">
        <v>1</v>
      </c>
      <c r="B682" s="26">
        <v>0.15</v>
      </c>
      <c r="C682" s="26">
        <v>0.15</v>
      </c>
      <c r="D682" s="26">
        <v>0.15</v>
      </c>
      <c r="E682" s="26">
        <v>0.2</v>
      </c>
      <c r="F682" s="26">
        <v>0.175</v>
      </c>
      <c r="G682" s="26">
        <v>0.15</v>
      </c>
      <c r="H682" s="26">
        <v>0.17</v>
      </c>
      <c r="I682" s="27">
        <f aca="true" t="shared" si="164" ref="I682:I689">AVERAGE(B682:H682)</f>
        <v>0.16357142857142856</v>
      </c>
    </row>
    <row r="683" spans="1:9" ht="12.75">
      <c r="A683" s="6">
        <v>10</v>
      </c>
      <c r="B683" s="26">
        <v>0.125</v>
      </c>
      <c r="C683" s="26">
        <v>0.1</v>
      </c>
      <c r="D683" s="26">
        <v>0.125</v>
      </c>
      <c r="E683" s="26">
        <v>0.15</v>
      </c>
      <c r="F683" s="26">
        <v>0.125</v>
      </c>
      <c r="G683" s="26">
        <v>0.1</v>
      </c>
      <c r="H683" s="26">
        <v>0.125</v>
      </c>
      <c r="I683" s="27">
        <f t="shared" si="164"/>
        <v>0.12142857142857143</v>
      </c>
    </row>
    <row r="684" spans="1:9" ht="12.75">
      <c r="A684" s="6">
        <v>100</v>
      </c>
      <c r="B684" s="26">
        <v>0.1</v>
      </c>
      <c r="C684" s="26">
        <v>0.1</v>
      </c>
      <c r="D684" s="26">
        <v>0.12</v>
      </c>
      <c r="E684" s="26">
        <v>0.135</v>
      </c>
      <c r="F684" s="26">
        <v>0.145</v>
      </c>
      <c r="G684" s="26">
        <v>0.09</v>
      </c>
      <c r="H684" s="26">
        <v>0.115</v>
      </c>
      <c r="I684" s="27">
        <f t="shared" si="164"/>
        <v>0.11499999999999999</v>
      </c>
    </row>
    <row r="685" spans="1:9" ht="12.75">
      <c r="A685" s="6">
        <v>1000</v>
      </c>
      <c r="B685" s="26">
        <v>0.125</v>
      </c>
      <c r="C685" s="26">
        <v>0.13</v>
      </c>
      <c r="D685" s="26">
        <v>0.133</v>
      </c>
      <c r="E685" s="26">
        <v>0.14</v>
      </c>
      <c r="F685" s="26">
        <v>0.155</v>
      </c>
      <c r="G685" s="26">
        <v>0.075</v>
      </c>
      <c r="H685" s="26">
        <v>0.155</v>
      </c>
      <c r="I685" s="27">
        <f t="shared" si="164"/>
        <v>0.13042857142857142</v>
      </c>
    </row>
    <row r="686" spans="1:9" ht="12.75">
      <c r="A686" s="6">
        <v>10000</v>
      </c>
      <c r="B686" s="26">
        <v>0.07</v>
      </c>
      <c r="C686" s="26">
        <v>0.08</v>
      </c>
      <c r="D686" s="26">
        <v>0.085</v>
      </c>
      <c r="E686" s="26">
        <v>0.0975</v>
      </c>
      <c r="F686" s="26">
        <v>0.095</v>
      </c>
      <c r="G686" s="26">
        <v>0.06</v>
      </c>
      <c r="H686" s="26">
        <v>0.095</v>
      </c>
      <c r="I686" s="27">
        <f t="shared" si="164"/>
        <v>0.08321428571428571</v>
      </c>
    </row>
    <row r="687" spans="1:9" ht="12.75">
      <c r="A687" s="6">
        <v>100000</v>
      </c>
      <c r="B687" s="26">
        <v>0.06</v>
      </c>
      <c r="C687" s="26">
        <v>0.06</v>
      </c>
      <c r="D687" s="26">
        <v>0.06</v>
      </c>
      <c r="E687" s="26">
        <v>0.08</v>
      </c>
      <c r="F687" s="26">
        <v>0.07</v>
      </c>
      <c r="G687" s="26">
        <v>0.04</v>
      </c>
      <c r="H687" s="26">
        <v>0.06</v>
      </c>
      <c r="I687" s="27">
        <f t="shared" si="164"/>
        <v>0.06142857142857143</v>
      </c>
    </row>
    <row r="688" spans="1:9" ht="12.75">
      <c r="A688" s="7">
        <v>1000000</v>
      </c>
      <c r="B688" s="26">
        <v>0.02</v>
      </c>
      <c r="C688" s="26">
        <v>0.05</v>
      </c>
      <c r="D688" s="26">
        <v>0.05</v>
      </c>
      <c r="E688" s="26">
        <v>0.05</v>
      </c>
      <c r="F688" s="26">
        <v>0.06</v>
      </c>
      <c r="G688" s="26">
        <v>0.01</v>
      </c>
      <c r="H688" s="26">
        <v>0.03</v>
      </c>
      <c r="I688" s="27">
        <f t="shared" si="164"/>
        <v>0.038571428571428576</v>
      </c>
    </row>
    <row r="689" spans="1:9" ht="12.75">
      <c r="A689" s="9" t="s">
        <v>7</v>
      </c>
      <c r="B689" s="27">
        <v>0.03</v>
      </c>
      <c r="C689" s="27">
        <v>0.03</v>
      </c>
      <c r="D689" s="27">
        <v>0.04</v>
      </c>
      <c r="E689" s="27">
        <v>0.05</v>
      </c>
      <c r="F689" s="27">
        <f>AVERAGE(F682:F688)</f>
        <v>0.11785714285714285</v>
      </c>
      <c r="G689" s="27">
        <f>AVERAGE(G682:G688)</f>
        <v>0.075</v>
      </c>
      <c r="H689" s="27">
        <f>AVERAGE(H682:H688)</f>
        <v>0.10714285714285714</v>
      </c>
      <c r="I689" s="27">
        <f t="shared" si="164"/>
        <v>0.0642857142857143</v>
      </c>
    </row>
    <row r="692" ht="12.75">
      <c r="A692" s="1" t="s">
        <v>375</v>
      </c>
    </row>
    <row r="693" ht="12.75">
      <c r="A693" t="s">
        <v>84</v>
      </c>
    </row>
    <row r="694" ht="12.75">
      <c r="A694" t="s">
        <v>85</v>
      </c>
    </row>
    <row r="696" spans="2:9" ht="12.75">
      <c r="B696" s="3"/>
      <c r="C696" s="3"/>
      <c r="D696" s="3" t="s">
        <v>41</v>
      </c>
      <c r="E696" s="3" t="s">
        <v>14</v>
      </c>
      <c r="F696" s="3"/>
      <c r="G696" s="3" t="s">
        <v>9</v>
      </c>
      <c r="H696" s="3"/>
      <c r="I696" s="9"/>
    </row>
    <row r="697" spans="2:9" ht="12.75">
      <c r="B697" s="3" t="s">
        <v>1</v>
      </c>
      <c r="C697" s="3" t="s">
        <v>3</v>
      </c>
      <c r="D697" s="3" t="s">
        <v>4</v>
      </c>
      <c r="E697" s="3" t="s">
        <v>5</v>
      </c>
      <c r="F697" s="3" t="s">
        <v>26</v>
      </c>
      <c r="G697" s="3" t="s">
        <v>10</v>
      </c>
      <c r="H697" s="3" t="s">
        <v>6</v>
      </c>
      <c r="I697" s="9"/>
    </row>
    <row r="698" spans="2:9" ht="12.75">
      <c r="B698" s="3" t="s">
        <v>2</v>
      </c>
      <c r="C698" s="3" t="s">
        <v>2</v>
      </c>
      <c r="D698" s="3" t="s">
        <v>2</v>
      </c>
      <c r="E698" s="3" t="s">
        <v>2</v>
      </c>
      <c r="F698" s="3" t="s">
        <v>2</v>
      </c>
      <c r="G698" s="3" t="s">
        <v>2</v>
      </c>
      <c r="H698" s="3" t="s">
        <v>2</v>
      </c>
      <c r="I698" s="21" t="s">
        <v>28</v>
      </c>
    </row>
    <row r="699" ht="12.75">
      <c r="A699" s="4" t="s">
        <v>0</v>
      </c>
    </row>
    <row r="700" spans="1:9" ht="12.75">
      <c r="A700" s="6">
        <v>1</v>
      </c>
      <c r="B700" s="6">
        <f>B664*0.15</f>
        <v>750</v>
      </c>
      <c r="C700" s="6">
        <f>C664*0.15</f>
        <v>1500</v>
      </c>
      <c r="D700" s="6">
        <f>D664*0.15</f>
        <v>525</v>
      </c>
      <c r="E700" s="6">
        <f>E664*0.2</f>
        <v>750</v>
      </c>
      <c r="F700" s="6">
        <f>F664*0.175</f>
        <v>525</v>
      </c>
      <c r="G700" s="6">
        <f>G664*0.15</f>
        <v>412.5</v>
      </c>
      <c r="H700" s="6">
        <f>H664*0.17</f>
        <v>595</v>
      </c>
      <c r="I700" s="25">
        <f aca="true" t="shared" si="165" ref="I700:I706">SUM(B700:H700)</f>
        <v>5057.5</v>
      </c>
    </row>
    <row r="701" spans="1:9" ht="12.75">
      <c r="A701" s="6">
        <v>10</v>
      </c>
      <c r="B701" s="6">
        <f>B665*0.125</f>
        <v>937.5</v>
      </c>
      <c r="C701" s="6">
        <f>C665*0.125</f>
        <v>1250</v>
      </c>
      <c r="D701" s="6">
        <f>D665*0.125</f>
        <v>500</v>
      </c>
      <c r="E701" s="6">
        <f>E665*0.15</f>
        <v>375</v>
      </c>
      <c r="F701" s="6">
        <f>F665*0.125</f>
        <v>312.5</v>
      </c>
      <c r="G701" s="6">
        <f>G665*0.1</f>
        <v>200</v>
      </c>
      <c r="H701" s="6">
        <f>H665*0.125</f>
        <v>437.5</v>
      </c>
      <c r="I701" s="25">
        <f t="shared" si="165"/>
        <v>4012.5</v>
      </c>
    </row>
    <row r="702" spans="1:9" ht="12.75">
      <c r="A702" s="6">
        <v>100</v>
      </c>
      <c r="B702" s="6">
        <f>B666*0.1</f>
        <v>300</v>
      </c>
      <c r="C702" s="6">
        <f>C666*0.1</f>
        <v>720</v>
      </c>
      <c r="D702" s="6">
        <f>D666*0.12</f>
        <v>180</v>
      </c>
      <c r="E702" s="6">
        <f>E666*0.135</f>
        <v>162</v>
      </c>
      <c r="F702" s="6">
        <f>F666*0.145</f>
        <v>174</v>
      </c>
      <c r="G702" s="6">
        <f>G666*0.09</f>
        <v>81</v>
      </c>
      <c r="H702" s="6">
        <f>H666*0.115</f>
        <v>89.7</v>
      </c>
      <c r="I702" s="25">
        <f t="shared" si="165"/>
        <v>1706.7</v>
      </c>
    </row>
    <row r="703" spans="1:9" ht="12.75">
      <c r="A703" s="6">
        <v>1000</v>
      </c>
      <c r="B703" s="6">
        <f>B667*0.125</f>
        <v>1875</v>
      </c>
      <c r="C703" s="6">
        <f>C667*0.13</f>
        <v>6825</v>
      </c>
      <c r="D703" s="6">
        <f>D667*0.133</f>
        <v>1396.5</v>
      </c>
      <c r="E703" s="6">
        <f>E667*0.14</f>
        <v>1050</v>
      </c>
      <c r="F703" s="6">
        <f>F667*0.155</f>
        <v>1162.5</v>
      </c>
      <c r="G703" s="6">
        <f>G667*0.075</f>
        <v>450</v>
      </c>
      <c r="H703" s="6">
        <f>H667*0.155</f>
        <v>1046.25</v>
      </c>
      <c r="I703" s="25">
        <f t="shared" si="165"/>
        <v>13805.25</v>
      </c>
    </row>
    <row r="704" spans="1:9" ht="12.75">
      <c r="A704" s="6">
        <v>10000</v>
      </c>
      <c r="B704" s="6">
        <f>B668*0.07</f>
        <v>280</v>
      </c>
      <c r="C704" s="6">
        <f>C668*0.08</f>
        <v>1200</v>
      </c>
      <c r="D704" s="6">
        <f>D668*0.085</f>
        <v>297.5</v>
      </c>
      <c r="E704" s="6">
        <f>E668*0.0975</f>
        <v>585</v>
      </c>
      <c r="F704" s="6">
        <f>F668*0.095</f>
        <v>475</v>
      </c>
      <c r="G704" s="6">
        <f>G668*0.06</f>
        <v>240</v>
      </c>
      <c r="H704" s="6">
        <f>H668*0.095</f>
        <v>570</v>
      </c>
      <c r="I704" s="25">
        <f t="shared" si="165"/>
        <v>3647.5</v>
      </c>
    </row>
    <row r="705" spans="1:9" ht="12.75">
      <c r="A705" s="6">
        <v>100000</v>
      </c>
      <c r="B705" s="6">
        <f>B669*0.06</f>
        <v>2.4</v>
      </c>
      <c r="C705" s="6">
        <f>C669*0.06</f>
        <v>1.2</v>
      </c>
      <c r="D705" s="6">
        <f>D669*0.06</f>
        <v>1.2</v>
      </c>
      <c r="E705" s="6">
        <f>E669*0.08</f>
        <v>8</v>
      </c>
      <c r="F705" s="6">
        <f>F669*0.07</f>
        <v>1.4000000000000001</v>
      </c>
      <c r="G705" s="6">
        <f>G669*0.06</f>
        <v>6.3</v>
      </c>
      <c r="H705" s="6">
        <f>H669*0.06</f>
        <v>11.25</v>
      </c>
      <c r="I705" s="25">
        <f t="shared" si="165"/>
        <v>31.75</v>
      </c>
    </row>
    <row r="706" spans="1:9" ht="12.75">
      <c r="A706" s="7">
        <v>1000000</v>
      </c>
      <c r="B706" s="6">
        <f>BG14*0.03</f>
        <v>0</v>
      </c>
      <c r="C706" s="6">
        <f>BH14*0.03</f>
        <v>0</v>
      </c>
      <c r="D706" s="6">
        <f>BI14*0.04</f>
        <v>0</v>
      </c>
      <c r="E706" s="6">
        <f>BJ14*0.05</f>
        <v>0</v>
      </c>
      <c r="F706" s="6">
        <f>BK14*0.06</f>
        <v>0</v>
      </c>
      <c r="G706" s="6">
        <f>BL14*0.01</f>
        <v>0</v>
      </c>
      <c r="H706" s="6">
        <f>BM14*0.03</f>
        <v>0</v>
      </c>
      <c r="I706" s="25">
        <f t="shared" si="165"/>
        <v>0</v>
      </c>
    </row>
    <row r="707" spans="1:9" ht="12.75">
      <c r="A707" s="9" t="s">
        <v>28</v>
      </c>
      <c r="B707" s="25">
        <f aca="true" t="shared" si="166" ref="B707:I707">SUM(B700:B706)</f>
        <v>4144.9</v>
      </c>
      <c r="C707" s="25">
        <f t="shared" si="166"/>
        <v>11496.2</v>
      </c>
      <c r="D707" s="25">
        <f t="shared" si="166"/>
        <v>2900.2</v>
      </c>
      <c r="E707" s="25">
        <f t="shared" si="166"/>
        <v>2930</v>
      </c>
      <c r="F707" s="25">
        <f t="shared" si="166"/>
        <v>2650.4</v>
      </c>
      <c r="G707" s="25">
        <f t="shared" si="166"/>
        <v>1389.8</v>
      </c>
      <c r="H707" s="25">
        <f t="shared" si="166"/>
        <v>2749.7</v>
      </c>
      <c r="I707" s="25">
        <f t="shared" si="166"/>
        <v>28261.2</v>
      </c>
    </row>
    <row r="710" ht="12.75">
      <c r="A710" s="1" t="s">
        <v>376</v>
      </c>
    </row>
    <row r="711" ht="12.75">
      <c r="A711" s="29" t="s">
        <v>61</v>
      </c>
    </row>
    <row r="713" spans="2:9" ht="12.75">
      <c r="B713" s="3"/>
      <c r="C713" s="3"/>
      <c r="D713" s="3" t="s">
        <v>41</v>
      </c>
      <c r="E713" s="3" t="s">
        <v>14</v>
      </c>
      <c r="F713" s="3"/>
      <c r="G713" s="3" t="s">
        <v>9</v>
      </c>
      <c r="H713" s="3"/>
      <c r="I713" s="9"/>
    </row>
    <row r="714" spans="2:9" ht="12.75">
      <c r="B714" s="3" t="s">
        <v>1</v>
      </c>
      <c r="C714" s="3" t="s">
        <v>3</v>
      </c>
      <c r="D714" s="3" t="s">
        <v>4</v>
      </c>
      <c r="E714" s="3" t="s">
        <v>5</v>
      </c>
      <c r="F714" s="3" t="s">
        <v>26</v>
      </c>
      <c r="G714" s="3" t="s">
        <v>10</v>
      </c>
      <c r="H714" s="3" t="s">
        <v>6</v>
      </c>
      <c r="I714" s="9"/>
    </row>
    <row r="715" spans="2:9" ht="12.75">
      <c r="B715" s="3" t="s">
        <v>2</v>
      </c>
      <c r="C715" s="3" t="s">
        <v>2</v>
      </c>
      <c r="D715" s="3" t="s">
        <v>2</v>
      </c>
      <c r="E715" s="3" t="s">
        <v>2</v>
      </c>
      <c r="F715" s="3" t="s">
        <v>2</v>
      </c>
      <c r="G715" s="3" t="s">
        <v>2</v>
      </c>
      <c r="H715" s="3" t="s">
        <v>2</v>
      </c>
      <c r="I715" s="21" t="s">
        <v>7</v>
      </c>
    </row>
    <row r="716" ht="12.75">
      <c r="A716" s="4" t="s">
        <v>0</v>
      </c>
    </row>
    <row r="717" spans="1:9" ht="12.75">
      <c r="A717" s="6">
        <v>1</v>
      </c>
      <c r="B717" s="26">
        <v>0.01</v>
      </c>
      <c r="C717" s="26">
        <v>0.0125</v>
      </c>
      <c r="D717" s="26">
        <v>0.009</v>
      </c>
      <c r="E717" s="26">
        <v>0.009</v>
      </c>
      <c r="F717" s="26">
        <v>0.012</v>
      </c>
      <c r="G717" s="26">
        <v>0.0125</v>
      </c>
      <c r="H717" s="26">
        <v>0.013</v>
      </c>
      <c r="I717" s="27">
        <f aca="true" t="shared" si="167" ref="I717:I724">AVERAGE(B717:H717)</f>
        <v>0.011142857142857144</v>
      </c>
    </row>
    <row r="718" spans="1:9" ht="12.75">
      <c r="A718" s="6">
        <v>10</v>
      </c>
      <c r="B718" s="26">
        <v>0.0105</v>
      </c>
      <c r="C718" s="26">
        <v>0.013</v>
      </c>
      <c r="D718" s="26">
        <v>0.01</v>
      </c>
      <c r="E718" s="26">
        <v>0.01</v>
      </c>
      <c r="F718" s="26">
        <v>0.015</v>
      </c>
      <c r="G718" s="26">
        <v>0.012</v>
      </c>
      <c r="H718" s="26">
        <v>0.0135</v>
      </c>
      <c r="I718" s="27">
        <f t="shared" si="167"/>
        <v>0.012</v>
      </c>
    </row>
    <row r="719" spans="1:9" ht="12.75">
      <c r="A719" s="6">
        <v>100</v>
      </c>
      <c r="B719" s="26">
        <v>0.0115</v>
      </c>
      <c r="C719" s="26">
        <v>0.015</v>
      </c>
      <c r="D719" s="26">
        <v>0.0105</v>
      </c>
      <c r="E719" s="26">
        <v>0.011</v>
      </c>
      <c r="F719" s="26">
        <v>0.018</v>
      </c>
      <c r="G719" s="26">
        <v>0.013</v>
      </c>
      <c r="H719" s="26">
        <v>0.014</v>
      </c>
      <c r="I719" s="27">
        <f t="shared" si="167"/>
        <v>0.013285714285714286</v>
      </c>
    </row>
    <row r="720" spans="1:9" ht="12.75">
      <c r="A720" s="6">
        <v>1000</v>
      </c>
      <c r="B720" s="26">
        <v>0.012</v>
      </c>
      <c r="C720" s="26">
        <v>0.0225</v>
      </c>
      <c r="D720" s="26">
        <v>0.011</v>
      </c>
      <c r="E720" s="26">
        <v>0.012</v>
      </c>
      <c r="F720" s="26">
        <v>0.02</v>
      </c>
      <c r="G720" s="26">
        <v>0.017</v>
      </c>
      <c r="H720" s="26">
        <v>0.018</v>
      </c>
      <c r="I720" s="27">
        <f t="shared" si="167"/>
        <v>0.016071428571428573</v>
      </c>
    </row>
    <row r="721" spans="1:9" ht="12.75">
      <c r="A721" s="6">
        <v>10000</v>
      </c>
      <c r="B721" s="26">
        <v>0.014</v>
      </c>
      <c r="C721" s="26">
        <v>0.0175</v>
      </c>
      <c r="D721" s="26">
        <v>0.013</v>
      </c>
      <c r="E721" s="26">
        <v>0.014</v>
      </c>
      <c r="F721" s="26">
        <v>0.0175</v>
      </c>
      <c r="G721" s="26">
        <v>0.02</v>
      </c>
      <c r="H721" s="26">
        <v>0.015</v>
      </c>
      <c r="I721" s="27">
        <f t="shared" si="167"/>
        <v>0.015857142857142858</v>
      </c>
    </row>
    <row r="722" spans="1:9" ht="12.75">
      <c r="A722" s="6">
        <v>100000</v>
      </c>
      <c r="B722" s="26">
        <v>0.012</v>
      </c>
      <c r="C722" s="26">
        <v>0.015</v>
      </c>
      <c r="D722" s="26">
        <v>0.0105</v>
      </c>
      <c r="E722" s="26">
        <v>0.016</v>
      </c>
      <c r="F722" s="26">
        <v>0.015</v>
      </c>
      <c r="G722" s="26">
        <v>0.015</v>
      </c>
      <c r="H722" s="26">
        <v>0.0165</v>
      </c>
      <c r="I722" s="27">
        <f t="shared" si="167"/>
        <v>0.014285714285714287</v>
      </c>
    </row>
    <row r="723" spans="1:9" ht="12.75">
      <c r="A723" s="7">
        <v>1000000</v>
      </c>
      <c r="B723" s="26">
        <v>0.011</v>
      </c>
      <c r="C723" s="26">
        <v>0.0125</v>
      </c>
      <c r="D723" s="26">
        <v>0.0095</v>
      </c>
      <c r="E723" s="26">
        <v>0.0135</v>
      </c>
      <c r="F723" s="26">
        <v>0.013</v>
      </c>
      <c r="G723" s="26">
        <v>0.014</v>
      </c>
      <c r="H723" s="26">
        <v>0.014</v>
      </c>
      <c r="I723" s="27">
        <f t="shared" si="167"/>
        <v>0.012499999999999999</v>
      </c>
    </row>
    <row r="724" spans="1:9" ht="12.75">
      <c r="A724" s="9" t="s">
        <v>7</v>
      </c>
      <c r="B724" s="27">
        <f aca="true" t="shared" si="168" ref="B724:H724">AVERAGE(B717:B723)</f>
        <v>0.01157142857142857</v>
      </c>
      <c r="C724" s="27">
        <f t="shared" si="168"/>
        <v>0.015428571428571429</v>
      </c>
      <c r="D724" s="27">
        <f t="shared" si="168"/>
        <v>0.010499999999999997</v>
      </c>
      <c r="E724" s="27">
        <f t="shared" si="168"/>
        <v>0.012214285714285714</v>
      </c>
      <c r="F724" s="27">
        <f t="shared" si="168"/>
        <v>0.015785714285714285</v>
      </c>
      <c r="G724" s="27">
        <f t="shared" si="168"/>
        <v>0.014785714285714286</v>
      </c>
      <c r="H724" s="27">
        <f t="shared" si="168"/>
        <v>0.014857142857142857</v>
      </c>
      <c r="I724" s="27">
        <f t="shared" si="167"/>
        <v>0.013591836734693876</v>
      </c>
    </row>
    <row r="727" ht="12.75">
      <c r="A727" s="1" t="s">
        <v>377</v>
      </c>
    </row>
    <row r="728" ht="12.75">
      <c r="A728" t="s">
        <v>60</v>
      </c>
    </row>
    <row r="730" spans="2:9" ht="12.75">
      <c r="B730" s="3"/>
      <c r="C730" s="3"/>
      <c r="D730" s="3" t="s">
        <v>41</v>
      </c>
      <c r="E730" s="3" t="s">
        <v>14</v>
      </c>
      <c r="F730" s="3"/>
      <c r="G730" s="3" t="s">
        <v>9</v>
      </c>
      <c r="H730" s="3"/>
      <c r="I730" s="9"/>
    </row>
    <row r="731" spans="2:9" ht="12.75">
      <c r="B731" s="3" t="s">
        <v>1</v>
      </c>
      <c r="C731" s="3" t="s">
        <v>3</v>
      </c>
      <c r="D731" s="3" t="s">
        <v>4</v>
      </c>
      <c r="E731" s="3" t="s">
        <v>5</v>
      </c>
      <c r="F731" s="3" t="s">
        <v>26</v>
      </c>
      <c r="G731" s="3" t="s">
        <v>10</v>
      </c>
      <c r="H731" s="3" t="s">
        <v>6</v>
      </c>
      <c r="I731" s="9"/>
    </row>
    <row r="732" spans="2:9" ht="12.75">
      <c r="B732" s="3" t="s">
        <v>2</v>
      </c>
      <c r="C732" s="3" t="s">
        <v>2</v>
      </c>
      <c r="D732" s="3" t="s">
        <v>2</v>
      </c>
      <c r="E732" s="3" t="s">
        <v>2</v>
      </c>
      <c r="F732" s="3" t="s">
        <v>2</v>
      </c>
      <c r="G732" s="3" t="s">
        <v>2</v>
      </c>
      <c r="H732" s="3" t="s">
        <v>2</v>
      </c>
      <c r="I732" s="21" t="s">
        <v>7</v>
      </c>
    </row>
    <row r="733" ht="12.75">
      <c r="A733" s="4" t="s">
        <v>0</v>
      </c>
    </row>
    <row r="734" spans="1:9" ht="12.75">
      <c r="A734" s="6">
        <v>1</v>
      </c>
      <c r="B734" s="26">
        <f aca="true" t="shared" si="169" ref="B734:H740">((B26*0.5)*B717)</f>
        <v>5E-05</v>
      </c>
      <c r="C734" s="26">
        <f t="shared" si="169"/>
        <v>6.25E-05</v>
      </c>
      <c r="D734" s="26">
        <f t="shared" si="169"/>
        <v>4.4999999999999996E-05</v>
      </c>
      <c r="E734" s="26">
        <f t="shared" si="169"/>
        <v>4.4999999999999996E-05</v>
      </c>
      <c r="F734" s="26">
        <f t="shared" si="169"/>
        <v>6E-05</v>
      </c>
      <c r="G734" s="26">
        <f t="shared" si="169"/>
        <v>6.25E-05</v>
      </c>
      <c r="H734" s="26">
        <f t="shared" si="169"/>
        <v>6.5E-05</v>
      </c>
      <c r="I734" s="27">
        <f aca="true" t="shared" si="170" ref="I734:I741">AVERAGE(B734:H734)</f>
        <v>5.5714285714285715E-05</v>
      </c>
    </row>
    <row r="735" spans="1:9" ht="12.75">
      <c r="A735" s="6">
        <v>10</v>
      </c>
      <c r="B735" s="26">
        <f t="shared" si="169"/>
        <v>0.0018375</v>
      </c>
      <c r="C735" s="26">
        <f t="shared" si="169"/>
        <v>0.001625</v>
      </c>
      <c r="D735" s="26">
        <f t="shared" si="169"/>
        <v>0.0016500000000000002</v>
      </c>
      <c r="E735" s="26">
        <f t="shared" si="169"/>
        <v>0.003</v>
      </c>
      <c r="F735" s="26">
        <f t="shared" si="169"/>
        <v>0.0052499999999999995</v>
      </c>
      <c r="G735" s="26">
        <f t="shared" si="169"/>
        <v>0.0054</v>
      </c>
      <c r="H735" s="26">
        <f t="shared" si="169"/>
        <v>0.00675</v>
      </c>
      <c r="I735" s="27">
        <f t="shared" si="170"/>
        <v>0.003644642857142857</v>
      </c>
    </row>
    <row r="736" spans="1:9" ht="12.75">
      <c r="A736" s="6">
        <v>100</v>
      </c>
      <c r="B736" s="26">
        <f t="shared" si="169"/>
        <v>0.023</v>
      </c>
      <c r="C736" s="26">
        <f t="shared" si="169"/>
        <v>0.0225</v>
      </c>
      <c r="D736" s="26">
        <f t="shared" si="169"/>
        <v>0.018375000000000002</v>
      </c>
      <c r="E736" s="26">
        <f t="shared" si="169"/>
        <v>0.024749999999999998</v>
      </c>
      <c r="F736" s="26">
        <f t="shared" si="169"/>
        <v>0.036</v>
      </c>
      <c r="G736" s="26">
        <f t="shared" si="169"/>
        <v>0.03575</v>
      </c>
      <c r="H736" s="26">
        <f t="shared" si="169"/>
        <v>0.049</v>
      </c>
      <c r="I736" s="27">
        <f t="shared" si="170"/>
        <v>0.029910714285714284</v>
      </c>
    </row>
    <row r="737" spans="1:9" ht="12.75">
      <c r="A737" s="6">
        <v>1000</v>
      </c>
      <c r="B737" s="26">
        <f t="shared" si="169"/>
        <v>0.07200000000000001</v>
      </c>
      <c r="C737" s="26">
        <f t="shared" si="169"/>
        <v>0.11249999999999999</v>
      </c>
      <c r="D737" s="26">
        <f t="shared" si="169"/>
        <v>0.0605</v>
      </c>
      <c r="E737" s="26">
        <f t="shared" si="169"/>
        <v>0.084</v>
      </c>
      <c r="F737" s="26">
        <f t="shared" si="169"/>
        <v>0.13</v>
      </c>
      <c r="G737" s="26">
        <f t="shared" si="169"/>
        <v>0.1275</v>
      </c>
      <c r="H737" s="26">
        <f t="shared" si="169"/>
        <v>0.16199999999999998</v>
      </c>
      <c r="I737" s="27">
        <f t="shared" si="170"/>
        <v>0.10692857142857141</v>
      </c>
    </row>
    <row r="738" spans="1:9" ht="12.75">
      <c r="A738" s="6">
        <v>10000</v>
      </c>
      <c r="B738" s="26">
        <f t="shared" si="169"/>
        <v>0.308</v>
      </c>
      <c r="C738" s="26">
        <f t="shared" si="169"/>
        <v>0.32375000000000004</v>
      </c>
      <c r="D738" s="26">
        <f t="shared" si="169"/>
        <v>0.27299999999999996</v>
      </c>
      <c r="E738" s="26">
        <f t="shared" si="169"/>
        <v>0.28700000000000003</v>
      </c>
      <c r="F738" s="26">
        <f t="shared" si="169"/>
        <v>0.36750000000000005</v>
      </c>
      <c r="G738" s="26">
        <f t="shared" si="169"/>
        <v>0.46</v>
      </c>
      <c r="H738" s="26">
        <f t="shared" si="169"/>
        <v>0.36</v>
      </c>
      <c r="I738" s="27">
        <f t="shared" si="170"/>
        <v>0.3398928571428571</v>
      </c>
    </row>
    <row r="739" spans="1:9" ht="12.75">
      <c r="A739" s="6">
        <v>100000</v>
      </c>
      <c r="B739" s="26">
        <f t="shared" si="169"/>
        <v>0.372</v>
      </c>
      <c r="C739" s="26">
        <f t="shared" si="169"/>
        <v>0.42</v>
      </c>
      <c r="D739" s="26">
        <f t="shared" si="169"/>
        <v>0.3045</v>
      </c>
      <c r="E739" s="26">
        <f t="shared" si="169"/>
        <v>0.456</v>
      </c>
      <c r="F739" s="26">
        <f t="shared" si="169"/>
        <v>0.435</v>
      </c>
      <c r="G739" s="26">
        <f t="shared" si="169"/>
        <v>0.4725</v>
      </c>
      <c r="H739" s="26">
        <f t="shared" si="169"/>
        <v>0.5445</v>
      </c>
      <c r="I739" s="27">
        <f t="shared" si="170"/>
        <v>0.4292142857142857</v>
      </c>
    </row>
    <row r="740" spans="1:9" ht="12.75">
      <c r="A740" s="7">
        <v>1000000</v>
      </c>
      <c r="B740" s="26">
        <f t="shared" si="169"/>
        <v>0.407</v>
      </c>
      <c r="C740" s="26">
        <f t="shared" si="169"/>
        <v>0.42500000000000004</v>
      </c>
      <c r="D740" s="26">
        <f t="shared" si="169"/>
        <v>0.3325</v>
      </c>
      <c r="E740" s="26">
        <f t="shared" si="169"/>
        <v>0.459</v>
      </c>
      <c r="F740" s="26">
        <f t="shared" si="169"/>
        <v>0.44849999999999995</v>
      </c>
      <c r="G740" s="26">
        <f t="shared" si="169"/>
        <v>0.546</v>
      </c>
      <c r="H740" s="26">
        <f t="shared" si="169"/>
        <v>0.56</v>
      </c>
      <c r="I740" s="27">
        <f t="shared" si="170"/>
        <v>0.45400000000000007</v>
      </c>
    </row>
    <row r="741" spans="1:9" ht="12.75">
      <c r="A741" s="9" t="s">
        <v>7</v>
      </c>
      <c r="B741" s="27">
        <f aca="true" t="shared" si="171" ref="B741:H741">AVERAGE(B734:B740)</f>
        <v>0.16912678571428572</v>
      </c>
      <c r="C741" s="27">
        <f t="shared" si="171"/>
        <v>0.18649107142857144</v>
      </c>
      <c r="D741" s="27">
        <f t="shared" si="171"/>
        <v>0.14151</v>
      </c>
      <c r="E741" s="27">
        <f t="shared" si="171"/>
        <v>0.18768500000000002</v>
      </c>
      <c r="F741" s="27">
        <f t="shared" si="171"/>
        <v>0.20318714285714284</v>
      </c>
      <c r="G741" s="27">
        <f t="shared" si="171"/>
        <v>0.23531607142857142</v>
      </c>
      <c r="H741" s="27">
        <f t="shared" si="171"/>
        <v>0.2403307142857143</v>
      </c>
      <c r="I741" s="27">
        <f t="shared" si="170"/>
        <v>0.19480668367346937</v>
      </c>
    </row>
    <row r="744" ht="12.75">
      <c r="A744" s="1" t="s">
        <v>378</v>
      </c>
    </row>
    <row r="745" ht="12.75">
      <c r="A745" t="s">
        <v>62</v>
      </c>
    </row>
    <row r="747" spans="2:9" ht="12.75">
      <c r="B747" s="3"/>
      <c r="C747" s="3"/>
      <c r="D747" s="3" t="s">
        <v>41</v>
      </c>
      <c r="E747" s="3" t="s">
        <v>14</v>
      </c>
      <c r="F747" s="3"/>
      <c r="G747" s="3" t="s">
        <v>9</v>
      </c>
      <c r="H747" s="3"/>
      <c r="I747" s="9"/>
    </row>
    <row r="748" spans="2:9" ht="12.75">
      <c r="B748" s="3" t="s">
        <v>1</v>
      </c>
      <c r="C748" s="3" t="s">
        <v>3</v>
      </c>
      <c r="D748" s="3" t="s">
        <v>4</v>
      </c>
      <c r="E748" s="3" t="s">
        <v>5</v>
      </c>
      <c r="F748" s="3" t="s">
        <v>26</v>
      </c>
      <c r="G748" s="3" t="s">
        <v>10</v>
      </c>
      <c r="H748" s="3" t="s">
        <v>6</v>
      </c>
      <c r="I748" s="9"/>
    </row>
    <row r="749" spans="2:9" ht="12.75">
      <c r="B749" s="3" t="s">
        <v>2</v>
      </c>
      <c r="C749" s="3" t="s">
        <v>2</v>
      </c>
      <c r="D749" s="3" t="s">
        <v>2</v>
      </c>
      <c r="E749" s="3" t="s">
        <v>2</v>
      </c>
      <c r="F749" s="3" t="s">
        <v>2</v>
      </c>
      <c r="G749" s="3" t="s">
        <v>2</v>
      </c>
      <c r="H749" s="3" t="s">
        <v>2</v>
      </c>
      <c r="I749" s="21" t="s">
        <v>7</v>
      </c>
    </row>
    <row r="750" ht="12.75">
      <c r="A750" s="4" t="s">
        <v>0</v>
      </c>
    </row>
    <row r="751" spans="1:9" ht="12.75">
      <c r="A751" s="6">
        <v>1</v>
      </c>
      <c r="B751" s="5">
        <f aca="true" t="shared" si="172" ref="B751:B757">A734*B734</f>
        <v>5E-05</v>
      </c>
      <c r="C751" s="5">
        <f aca="true" t="shared" si="173" ref="C751:C757">A734*C734</f>
        <v>6.25E-05</v>
      </c>
      <c r="D751" s="5">
        <f aca="true" t="shared" si="174" ref="D751:D757">A734*D734</f>
        <v>4.4999999999999996E-05</v>
      </c>
      <c r="E751" s="5">
        <f aca="true" t="shared" si="175" ref="E751:E757">A734*E734</f>
        <v>4.4999999999999996E-05</v>
      </c>
      <c r="F751" s="5">
        <f aca="true" t="shared" si="176" ref="F751:F757">A734*F734</f>
        <v>6E-05</v>
      </c>
      <c r="G751" s="5">
        <f aca="true" t="shared" si="177" ref="G751:G757">A734*G734</f>
        <v>6.25E-05</v>
      </c>
      <c r="H751" s="5">
        <f aca="true" t="shared" si="178" ref="H751:H757">A734*H734</f>
        <v>6.5E-05</v>
      </c>
      <c r="I751" s="10">
        <f aca="true" t="shared" si="179" ref="I751:I758">AVERAGE(B751:H751)</f>
        <v>5.5714285714285715E-05</v>
      </c>
    </row>
    <row r="752" spans="1:9" ht="12.75">
      <c r="A752" s="6">
        <v>10</v>
      </c>
      <c r="B752" s="5">
        <f t="shared" si="172"/>
        <v>0.018375</v>
      </c>
      <c r="C752" s="5">
        <f t="shared" si="173"/>
        <v>0.01625</v>
      </c>
      <c r="D752" s="5">
        <f t="shared" si="174"/>
        <v>0.0165</v>
      </c>
      <c r="E752" s="5">
        <f t="shared" si="175"/>
        <v>0.03</v>
      </c>
      <c r="F752" s="5">
        <f t="shared" si="176"/>
        <v>0.05249999999999999</v>
      </c>
      <c r="G752" s="5">
        <f t="shared" si="177"/>
        <v>0.054000000000000006</v>
      </c>
      <c r="H752" s="5">
        <f t="shared" si="178"/>
        <v>0.0675</v>
      </c>
      <c r="I752" s="10">
        <f t="shared" si="179"/>
        <v>0.03644642857142857</v>
      </c>
    </row>
    <row r="753" spans="1:9" ht="12.75">
      <c r="A753" s="6">
        <v>100</v>
      </c>
      <c r="B753" s="5">
        <f t="shared" si="172"/>
        <v>2.3</v>
      </c>
      <c r="C753" s="5">
        <f t="shared" si="173"/>
        <v>2.25</v>
      </c>
      <c r="D753" s="5">
        <f t="shared" si="174"/>
        <v>1.8375000000000004</v>
      </c>
      <c r="E753" s="5">
        <f t="shared" si="175"/>
        <v>2.4749999999999996</v>
      </c>
      <c r="F753" s="5">
        <f t="shared" si="176"/>
        <v>3.5999999999999996</v>
      </c>
      <c r="G753" s="5">
        <f t="shared" si="177"/>
        <v>3.5749999999999997</v>
      </c>
      <c r="H753" s="5">
        <f t="shared" si="178"/>
        <v>4.9</v>
      </c>
      <c r="I753" s="10">
        <f t="shared" si="179"/>
        <v>2.9910714285714284</v>
      </c>
    </row>
    <row r="754" spans="1:9" ht="12.75">
      <c r="A754" s="6">
        <v>1000</v>
      </c>
      <c r="B754" s="5">
        <f t="shared" si="172"/>
        <v>72.00000000000001</v>
      </c>
      <c r="C754" s="5">
        <f t="shared" si="173"/>
        <v>112.49999999999999</v>
      </c>
      <c r="D754" s="5">
        <f t="shared" si="174"/>
        <v>60.5</v>
      </c>
      <c r="E754" s="5">
        <f t="shared" si="175"/>
        <v>84</v>
      </c>
      <c r="F754" s="5">
        <f t="shared" si="176"/>
        <v>130</v>
      </c>
      <c r="G754" s="5">
        <f t="shared" si="177"/>
        <v>127.5</v>
      </c>
      <c r="H754" s="5">
        <f t="shared" si="178"/>
        <v>161.99999999999997</v>
      </c>
      <c r="I754" s="10">
        <f t="shared" si="179"/>
        <v>106.92857142857143</v>
      </c>
    </row>
    <row r="755" spans="1:9" ht="12.75">
      <c r="A755" s="6">
        <v>10000</v>
      </c>
      <c r="B755" s="5">
        <f t="shared" si="172"/>
        <v>3080</v>
      </c>
      <c r="C755" s="5">
        <f t="shared" si="173"/>
        <v>3237.5000000000005</v>
      </c>
      <c r="D755" s="5">
        <f t="shared" si="174"/>
        <v>2729.9999999999995</v>
      </c>
      <c r="E755" s="5">
        <f t="shared" si="175"/>
        <v>2870.0000000000005</v>
      </c>
      <c r="F755" s="5">
        <f t="shared" si="176"/>
        <v>3675.0000000000005</v>
      </c>
      <c r="G755" s="5">
        <f t="shared" si="177"/>
        <v>4600</v>
      </c>
      <c r="H755" s="5">
        <f t="shared" si="178"/>
        <v>3600</v>
      </c>
      <c r="I755" s="10">
        <f t="shared" si="179"/>
        <v>3398.9285714285716</v>
      </c>
    </row>
    <row r="756" spans="1:9" ht="12.75">
      <c r="A756" s="6">
        <v>100000</v>
      </c>
      <c r="B756" s="5">
        <f t="shared" si="172"/>
        <v>37200</v>
      </c>
      <c r="C756" s="5">
        <f t="shared" si="173"/>
        <v>42000</v>
      </c>
      <c r="D756" s="5">
        <f t="shared" si="174"/>
        <v>30450</v>
      </c>
      <c r="E756" s="5">
        <f t="shared" si="175"/>
        <v>45600</v>
      </c>
      <c r="F756" s="5">
        <f t="shared" si="176"/>
        <v>43500</v>
      </c>
      <c r="G756" s="5">
        <f t="shared" si="177"/>
        <v>47250</v>
      </c>
      <c r="H756" s="5">
        <f t="shared" si="178"/>
        <v>54450</v>
      </c>
      <c r="I756" s="10">
        <f t="shared" si="179"/>
        <v>42921.42857142857</v>
      </c>
    </row>
    <row r="757" spans="1:9" ht="12.75">
      <c r="A757" s="7">
        <v>1000000</v>
      </c>
      <c r="B757" s="5">
        <f t="shared" si="172"/>
        <v>407000</v>
      </c>
      <c r="C757" s="5">
        <f t="shared" si="173"/>
        <v>425000.00000000006</v>
      </c>
      <c r="D757" s="5">
        <f t="shared" si="174"/>
        <v>332500</v>
      </c>
      <c r="E757" s="5">
        <f t="shared" si="175"/>
        <v>459000</v>
      </c>
      <c r="F757" s="5">
        <f t="shared" si="176"/>
        <v>448499.99999999994</v>
      </c>
      <c r="G757" s="5">
        <f t="shared" si="177"/>
        <v>546000</v>
      </c>
      <c r="H757" s="5">
        <f t="shared" si="178"/>
        <v>560000</v>
      </c>
      <c r="I757" s="10">
        <f t="shared" si="179"/>
        <v>454000</v>
      </c>
    </row>
    <row r="758" spans="1:9" ht="12.75">
      <c r="A758" s="9" t="s">
        <v>7</v>
      </c>
      <c r="B758" s="10">
        <f>AVERAGE(B751:B757)</f>
        <v>63907.759775</v>
      </c>
      <c r="C758" s="10">
        <f>AVERAGE(C751:C757)</f>
        <v>67193.18090178572</v>
      </c>
      <c r="D758" s="10">
        <f>AVERAGE(D751:D757)</f>
        <v>52248.907720714284</v>
      </c>
      <c r="E758" s="5">
        <f>AVERAGE(E750:E757)</f>
        <v>72508.07214928571</v>
      </c>
      <c r="F758" s="10">
        <f>AVERAGE(F751:F757)</f>
        <v>70829.80750857142</v>
      </c>
      <c r="G758" s="10">
        <f>AVERAGE(G751:G757)</f>
        <v>85425.87558035714</v>
      </c>
      <c r="H758" s="10">
        <f>AVERAGE(H751:H757)</f>
        <v>88316.70965214286</v>
      </c>
      <c r="I758" s="10">
        <f t="shared" si="179"/>
        <v>71490.04475540816</v>
      </c>
    </row>
    <row r="761" ht="12.75">
      <c r="A761" s="1" t="s">
        <v>379</v>
      </c>
    </row>
    <row r="762" ht="12.75">
      <c r="A762" t="s">
        <v>63</v>
      </c>
    </row>
    <row r="764" spans="2:9" ht="12.75">
      <c r="B764" s="3"/>
      <c r="C764" s="3"/>
      <c r="D764" s="3" t="s">
        <v>41</v>
      </c>
      <c r="E764" s="3" t="s">
        <v>14</v>
      </c>
      <c r="F764" s="3"/>
      <c r="G764" s="3" t="s">
        <v>9</v>
      </c>
      <c r="H764" s="3"/>
      <c r="I764" s="9"/>
    </row>
    <row r="765" spans="2:9" ht="12.75">
      <c r="B765" s="3" t="s">
        <v>1</v>
      </c>
      <c r="C765" s="3" t="s">
        <v>3</v>
      </c>
      <c r="D765" s="3" t="s">
        <v>4</v>
      </c>
      <c r="E765" s="3" t="s">
        <v>5</v>
      </c>
      <c r="F765" s="3" t="s">
        <v>26</v>
      </c>
      <c r="G765" s="3" t="s">
        <v>10</v>
      </c>
      <c r="H765" s="3" t="s">
        <v>6</v>
      </c>
      <c r="I765" s="9"/>
    </row>
    <row r="766" spans="2:9" ht="12.75">
      <c r="B766" s="3" t="s">
        <v>2</v>
      </c>
      <c r="C766" s="3" t="s">
        <v>2</v>
      </c>
      <c r="D766" s="3" t="s">
        <v>2</v>
      </c>
      <c r="E766" s="3" t="s">
        <v>2</v>
      </c>
      <c r="F766" s="3" t="s">
        <v>2</v>
      </c>
      <c r="G766" s="3" t="s">
        <v>2</v>
      </c>
      <c r="H766" s="3" t="s">
        <v>2</v>
      </c>
      <c r="I766" s="21" t="s">
        <v>7</v>
      </c>
    </row>
    <row r="767" ht="12.75">
      <c r="A767" s="4" t="s">
        <v>0</v>
      </c>
    </row>
    <row r="768" spans="1:9" ht="12.75">
      <c r="A768" s="6">
        <v>1</v>
      </c>
      <c r="B768" s="5">
        <f aca="true" t="shared" si="180" ref="B768:B774">A751+B751</f>
        <v>1.00005</v>
      </c>
      <c r="C768" s="5">
        <f aca="true" t="shared" si="181" ref="C768:C774">A751+C751</f>
        <v>1.0000625</v>
      </c>
      <c r="D768" s="5">
        <f aca="true" t="shared" si="182" ref="D768:D774">A751+D751</f>
        <v>1.000045</v>
      </c>
      <c r="E768" s="5">
        <f aca="true" t="shared" si="183" ref="E768:E774">A751+E751</f>
        <v>1.000045</v>
      </c>
      <c r="F768" s="5">
        <f aca="true" t="shared" si="184" ref="F768:F774">A751+F751</f>
        <v>1.00006</v>
      </c>
      <c r="G768" s="5">
        <f aca="true" t="shared" si="185" ref="G768:G774">A751+G751</f>
        <v>1.0000625</v>
      </c>
      <c r="H768" s="5">
        <f aca="true" t="shared" si="186" ref="H768:H774">A751+H751</f>
        <v>1.000065</v>
      </c>
      <c r="I768" s="10">
        <f aca="true" t="shared" si="187" ref="I768:I775">AVERAGE(B768:H768)</f>
        <v>1.0000557142857143</v>
      </c>
    </row>
    <row r="769" spans="1:9" ht="12.75">
      <c r="A769" s="6">
        <v>10</v>
      </c>
      <c r="B769" s="5">
        <f t="shared" si="180"/>
        <v>10.018375</v>
      </c>
      <c r="C769" s="5">
        <f t="shared" si="181"/>
        <v>10.01625</v>
      </c>
      <c r="D769" s="5">
        <f t="shared" si="182"/>
        <v>10.0165</v>
      </c>
      <c r="E769" s="5">
        <f t="shared" si="183"/>
        <v>10.03</v>
      </c>
      <c r="F769" s="5">
        <f t="shared" si="184"/>
        <v>10.0525</v>
      </c>
      <c r="G769" s="5">
        <f t="shared" si="185"/>
        <v>10.054</v>
      </c>
      <c r="H769" s="5">
        <f t="shared" si="186"/>
        <v>10.0675</v>
      </c>
      <c r="I769" s="10">
        <f t="shared" si="187"/>
        <v>10.036446428571429</v>
      </c>
    </row>
    <row r="770" spans="1:9" ht="12.75">
      <c r="A770" s="6">
        <v>100</v>
      </c>
      <c r="B770" s="5">
        <f t="shared" si="180"/>
        <v>102.3</v>
      </c>
      <c r="C770" s="5">
        <f t="shared" si="181"/>
        <v>102.25</v>
      </c>
      <c r="D770" s="5">
        <f t="shared" si="182"/>
        <v>101.8375</v>
      </c>
      <c r="E770" s="5">
        <f t="shared" si="183"/>
        <v>102.475</v>
      </c>
      <c r="F770" s="5">
        <f t="shared" si="184"/>
        <v>103.6</v>
      </c>
      <c r="G770" s="5">
        <f t="shared" si="185"/>
        <v>103.575</v>
      </c>
      <c r="H770" s="5">
        <f t="shared" si="186"/>
        <v>104.9</v>
      </c>
      <c r="I770" s="10">
        <f t="shared" si="187"/>
        <v>102.99107142857144</v>
      </c>
    </row>
    <row r="771" spans="1:9" ht="12.75">
      <c r="A771" s="6">
        <v>1000</v>
      </c>
      <c r="B771" s="5">
        <f t="shared" si="180"/>
        <v>1072</v>
      </c>
      <c r="C771" s="5">
        <f t="shared" si="181"/>
        <v>1112.5</v>
      </c>
      <c r="D771" s="5">
        <f t="shared" si="182"/>
        <v>1060.5</v>
      </c>
      <c r="E771" s="5">
        <f t="shared" si="183"/>
        <v>1084</v>
      </c>
      <c r="F771" s="5">
        <f t="shared" si="184"/>
        <v>1130</v>
      </c>
      <c r="G771" s="5">
        <f t="shared" si="185"/>
        <v>1127.5</v>
      </c>
      <c r="H771" s="5">
        <f t="shared" si="186"/>
        <v>1162</v>
      </c>
      <c r="I771" s="10">
        <f t="shared" si="187"/>
        <v>1106.9285714285713</v>
      </c>
    </row>
    <row r="772" spans="1:9" ht="12.75">
      <c r="A772" s="6">
        <v>10000</v>
      </c>
      <c r="B772" s="5">
        <f t="shared" si="180"/>
        <v>13080</v>
      </c>
      <c r="C772" s="5">
        <f t="shared" si="181"/>
        <v>13237.5</v>
      </c>
      <c r="D772" s="5">
        <f t="shared" si="182"/>
        <v>12730</v>
      </c>
      <c r="E772" s="5">
        <f t="shared" si="183"/>
        <v>12870</v>
      </c>
      <c r="F772" s="5">
        <f t="shared" si="184"/>
        <v>13675</v>
      </c>
      <c r="G772" s="5">
        <f t="shared" si="185"/>
        <v>14600</v>
      </c>
      <c r="H772" s="5">
        <f t="shared" si="186"/>
        <v>13600</v>
      </c>
      <c r="I772" s="10">
        <f t="shared" si="187"/>
        <v>13398.92857142857</v>
      </c>
    </row>
    <row r="773" spans="1:9" ht="12.75">
      <c r="A773" s="6">
        <v>100000</v>
      </c>
      <c r="B773" s="5">
        <f t="shared" si="180"/>
        <v>137200</v>
      </c>
      <c r="C773" s="5">
        <f t="shared" si="181"/>
        <v>142000</v>
      </c>
      <c r="D773" s="5">
        <f t="shared" si="182"/>
        <v>130450</v>
      </c>
      <c r="E773" s="5">
        <f t="shared" si="183"/>
        <v>145600</v>
      </c>
      <c r="F773" s="5">
        <f t="shared" si="184"/>
        <v>143500</v>
      </c>
      <c r="G773" s="5">
        <f t="shared" si="185"/>
        <v>147250</v>
      </c>
      <c r="H773" s="5">
        <f t="shared" si="186"/>
        <v>154450</v>
      </c>
      <c r="I773" s="10">
        <f t="shared" si="187"/>
        <v>142921.42857142858</v>
      </c>
    </row>
    <row r="774" spans="1:9" ht="12.75">
      <c r="A774" s="7">
        <v>1000000</v>
      </c>
      <c r="B774" s="5">
        <f t="shared" si="180"/>
        <v>1407000</v>
      </c>
      <c r="C774" s="5">
        <f t="shared" si="181"/>
        <v>1425000</v>
      </c>
      <c r="D774" s="5">
        <f t="shared" si="182"/>
        <v>1332500</v>
      </c>
      <c r="E774" s="5">
        <f t="shared" si="183"/>
        <v>1459000</v>
      </c>
      <c r="F774" s="5">
        <f t="shared" si="184"/>
        <v>1448500</v>
      </c>
      <c r="G774" s="5">
        <f t="shared" si="185"/>
        <v>1546000</v>
      </c>
      <c r="H774" s="5">
        <f t="shared" si="186"/>
        <v>1560000</v>
      </c>
      <c r="I774" s="10">
        <f t="shared" si="187"/>
        <v>1454000</v>
      </c>
    </row>
    <row r="775" spans="1:9" ht="12.75">
      <c r="A775" s="9" t="s">
        <v>7</v>
      </c>
      <c r="B775" s="25">
        <f>AVERAGE(B768:B774)</f>
        <v>222637.90263214285</v>
      </c>
      <c r="C775" s="25">
        <f>AVERAGE(C768:C774)</f>
        <v>225923.32375892857</v>
      </c>
      <c r="D775" s="25">
        <f>AVERAGE(D768:D774)</f>
        <v>210979.05057785712</v>
      </c>
      <c r="E775" s="6">
        <f>AVERAGE(E767:E774)</f>
        <v>231238.21500642857</v>
      </c>
      <c r="F775" s="25">
        <f>AVERAGE(F768:F774)</f>
        <v>229559.9503657143</v>
      </c>
      <c r="G775" s="25">
        <f>AVERAGE(G768:G774)</f>
        <v>244156.01843750002</v>
      </c>
      <c r="H775" s="25">
        <f>AVERAGE(H768:H774)</f>
        <v>247046.85250928573</v>
      </c>
      <c r="I775" s="10">
        <f t="shared" si="187"/>
        <v>230220.18761255103</v>
      </c>
    </row>
    <row r="778" ht="12.75">
      <c r="A778" s="1" t="s">
        <v>380</v>
      </c>
    </row>
    <row r="779" ht="12.75">
      <c r="A779" t="s">
        <v>65</v>
      </c>
    </row>
    <row r="780" ht="12.75">
      <c r="A780" t="s">
        <v>64</v>
      </c>
    </row>
    <row r="782" spans="2:9" ht="12.75">
      <c r="B782" s="3"/>
      <c r="C782" s="3"/>
      <c r="D782" s="3" t="s">
        <v>41</v>
      </c>
      <c r="E782" s="3" t="s">
        <v>14</v>
      </c>
      <c r="F782" s="3"/>
      <c r="G782" s="3" t="s">
        <v>9</v>
      </c>
      <c r="H782" s="3"/>
      <c r="I782" s="9"/>
    </row>
    <row r="783" spans="2:9" ht="12.75">
      <c r="B783" s="3" t="s">
        <v>1</v>
      </c>
      <c r="C783" s="3" t="s">
        <v>3</v>
      </c>
      <c r="D783" s="3" t="s">
        <v>4</v>
      </c>
      <c r="E783" s="3" t="s">
        <v>5</v>
      </c>
      <c r="F783" s="3" t="s">
        <v>26</v>
      </c>
      <c r="G783" s="3" t="s">
        <v>10</v>
      </c>
      <c r="H783" s="3" t="s">
        <v>6</v>
      </c>
      <c r="I783" s="9"/>
    </row>
    <row r="784" spans="2:9" ht="12.75">
      <c r="B784" s="3" t="s">
        <v>2</v>
      </c>
      <c r="C784" s="3" t="s">
        <v>2</v>
      </c>
      <c r="D784" s="3" t="s">
        <v>2</v>
      </c>
      <c r="E784" s="3" t="s">
        <v>2</v>
      </c>
      <c r="F784" s="3" t="s">
        <v>2</v>
      </c>
      <c r="G784" s="3" t="s">
        <v>2</v>
      </c>
      <c r="H784" s="3" t="s">
        <v>2</v>
      </c>
      <c r="I784" s="21" t="s">
        <v>7</v>
      </c>
    </row>
    <row r="785" ht="12.75">
      <c r="A785" s="4" t="s">
        <v>0</v>
      </c>
    </row>
    <row r="786" spans="1:9" ht="12.75">
      <c r="A786" s="6">
        <v>1</v>
      </c>
      <c r="B786" s="26">
        <v>0.6</v>
      </c>
      <c r="C786" s="26">
        <v>0.7</v>
      </c>
      <c r="D786" s="26">
        <v>0.75</v>
      </c>
      <c r="E786" s="26">
        <v>0.95</v>
      </c>
      <c r="F786" s="26">
        <v>0.8</v>
      </c>
      <c r="G786" s="26">
        <v>0.55</v>
      </c>
      <c r="H786" s="26">
        <v>0.925</v>
      </c>
      <c r="I786" s="27">
        <f aca="true" t="shared" si="188" ref="I786:I793">AVERAGE(B786:H786)</f>
        <v>0.7535714285714284</v>
      </c>
    </row>
    <row r="787" spans="1:9" ht="12.75">
      <c r="A787" s="6">
        <v>10</v>
      </c>
      <c r="B787" s="26">
        <v>0.55</v>
      </c>
      <c r="C787" s="26">
        <v>0.65</v>
      </c>
      <c r="D787" s="26">
        <v>0.7</v>
      </c>
      <c r="E787" s="26">
        <v>0.9</v>
      </c>
      <c r="F787" s="26">
        <v>0.7</v>
      </c>
      <c r="G787" s="26">
        <v>0.5</v>
      </c>
      <c r="H787" s="26">
        <v>0.9</v>
      </c>
      <c r="I787" s="27">
        <f t="shared" si="188"/>
        <v>0.7000000000000001</v>
      </c>
    </row>
    <row r="788" spans="1:9" ht="12.75">
      <c r="A788" s="6">
        <v>100</v>
      </c>
      <c r="B788" s="26">
        <v>0.5</v>
      </c>
      <c r="C788" s="26">
        <v>0.6</v>
      </c>
      <c r="D788" s="26">
        <v>0.65</v>
      </c>
      <c r="E788" s="26">
        <v>0.85</v>
      </c>
      <c r="F788" s="26">
        <v>0.6</v>
      </c>
      <c r="G788" s="26">
        <v>0.45</v>
      </c>
      <c r="H788" s="26">
        <v>0.825</v>
      </c>
      <c r="I788" s="27">
        <f t="shared" si="188"/>
        <v>0.6392857142857143</v>
      </c>
    </row>
    <row r="789" spans="1:9" ht="12.75">
      <c r="A789" s="6">
        <v>1000</v>
      </c>
      <c r="B789" s="26">
        <v>0.35</v>
      </c>
      <c r="C789" s="26">
        <v>0.55</v>
      </c>
      <c r="D789" s="26">
        <v>0.6</v>
      </c>
      <c r="E789" s="26">
        <v>0.8</v>
      </c>
      <c r="F789" s="26">
        <v>0.55</v>
      </c>
      <c r="G789" s="26">
        <v>0.25</v>
      </c>
      <c r="H789" s="26">
        <v>0.75</v>
      </c>
      <c r="I789" s="27">
        <f t="shared" si="188"/>
        <v>0.5499999999999999</v>
      </c>
    </row>
    <row r="790" spans="1:9" ht="12.75">
      <c r="A790" s="6">
        <v>10000</v>
      </c>
      <c r="B790" s="26">
        <v>0.15</v>
      </c>
      <c r="C790" s="26">
        <v>0.35</v>
      </c>
      <c r="D790" s="26">
        <v>0.55</v>
      </c>
      <c r="E790" s="26">
        <v>0.7</v>
      </c>
      <c r="F790" s="26">
        <v>0.35</v>
      </c>
      <c r="G790" s="26">
        <v>0.125</v>
      </c>
      <c r="H790" s="26">
        <v>0.65</v>
      </c>
      <c r="I790" s="27">
        <f t="shared" si="188"/>
        <v>0.4107142857142857</v>
      </c>
    </row>
    <row r="791" spans="1:9" ht="12.75">
      <c r="A791" s="6">
        <v>100000</v>
      </c>
      <c r="B791" s="26">
        <v>0.05</v>
      </c>
      <c r="C791" s="26">
        <v>0.2</v>
      </c>
      <c r="D791" s="26">
        <v>0.4</v>
      </c>
      <c r="E791" s="26">
        <v>0.55</v>
      </c>
      <c r="F791" s="26">
        <v>0.25</v>
      </c>
      <c r="G791" s="26">
        <v>0.1</v>
      </c>
      <c r="H791" s="26">
        <v>0.45</v>
      </c>
      <c r="I791" s="27">
        <f t="shared" si="188"/>
        <v>0.28571428571428575</v>
      </c>
    </row>
    <row r="792" spans="1:9" ht="12.75">
      <c r="A792" s="7">
        <v>1000000</v>
      </c>
      <c r="B792" s="26">
        <v>0.025</v>
      </c>
      <c r="C792" s="26">
        <v>0.15</v>
      </c>
      <c r="D792" s="26">
        <v>0.25</v>
      </c>
      <c r="E792" s="26">
        <v>0.4</v>
      </c>
      <c r="F792" s="26">
        <v>0.2</v>
      </c>
      <c r="G792" s="26">
        <v>0.015</v>
      </c>
      <c r="H792" s="26">
        <v>0.3</v>
      </c>
      <c r="I792" s="27">
        <f t="shared" si="188"/>
        <v>0.19142857142857142</v>
      </c>
    </row>
    <row r="793" spans="1:9" ht="12.75">
      <c r="A793" s="9" t="s">
        <v>7</v>
      </c>
      <c r="B793" s="27">
        <f aca="true" t="shared" si="189" ref="B793:H793">AVERAGE(B786:B792)</f>
        <v>0.3178571428571428</v>
      </c>
      <c r="C793" s="27">
        <f t="shared" si="189"/>
        <v>0.4571428571428572</v>
      </c>
      <c r="D793" s="27">
        <f t="shared" si="189"/>
        <v>0.5571428571428572</v>
      </c>
      <c r="E793" s="27">
        <f t="shared" si="189"/>
        <v>0.7357142857142858</v>
      </c>
      <c r="F793" s="27">
        <f t="shared" si="189"/>
        <v>0.49285714285714294</v>
      </c>
      <c r="G793" s="27">
        <f t="shared" si="189"/>
        <v>0.2842857142857143</v>
      </c>
      <c r="H793" s="27">
        <f t="shared" si="189"/>
        <v>0.6857142857142858</v>
      </c>
      <c r="I793" s="27">
        <f t="shared" si="188"/>
        <v>0.5043877551020409</v>
      </c>
    </row>
    <row r="796" ht="12.75">
      <c r="A796" s="1" t="s">
        <v>381</v>
      </c>
    </row>
    <row r="797" ht="12.75">
      <c r="A797" s="29" t="s">
        <v>66</v>
      </c>
    </row>
    <row r="799" spans="2:9" ht="12.75">
      <c r="B799" s="3"/>
      <c r="C799" s="3"/>
      <c r="D799" s="3" t="s">
        <v>41</v>
      </c>
      <c r="E799" s="3" t="s">
        <v>14</v>
      </c>
      <c r="F799" s="3"/>
      <c r="G799" s="3" t="s">
        <v>9</v>
      </c>
      <c r="H799" s="3"/>
      <c r="I799" s="9"/>
    </row>
    <row r="800" spans="2:9" ht="12.75">
      <c r="B800" s="3" t="s">
        <v>1</v>
      </c>
      <c r="C800" s="3" t="s">
        <v>3</v>
      </c>
      <c r="D800" s="3" t="s">
        <v>4</v>
      </c>
      <c r="E800" s="3" t="s">
        <v>5</v>
      </c>
      <c r="F800" s="3" t="s">
        <v>26</v>
      </c>
      <c r="G800" s="3" t="s">
        <v>10</v>
      </c>
      <c r="H800" s="3" t="s">
        <v>6</v>
      </c>
      <c r="I800" s="9"/>
    </row>
    <row r="801" spans="2:9" ht="12.75">
      <c r="B801" s="3" t="s">
        <v>2</v>
      </c>
      <c r="C801" s="3" t="s">
        <v>2</v>
      </c>
      <c r="D801" s="3" t="s">
        <v>2</v>
      </c>
      <c r="E801" s="3" t="s">
        <v>2</v>
      </c>
      <c r="F801" s="3" t="s">
        <v>2</v>
      </c>
      <c r="G801" s="3" t="s">
        <v>2</v>
      </c>
      <c r="H801" s="3" t="s">
        <v>2</v>
      </c>
      <c r="I801" s="21" t="s">
        <v>7</v>
      </c>
    </row>
    <row r="802" ht="12.75">
      <c r="A802" s="4" t="s">
        <v>0</v>
      </c>
    </row>
    <row r="803" spans="1:9" ht="12.75">
      <c r="A803" s="6">
        <v>1</v>
      </c>
      <c r="B803" s="32">
        <v>0.55</v>
      </c>
      <c r="C803" s="32">
        <v>0.925</v>
      </c>
      <c r="D803" s="32">
        <v>0.65</v>
      </c>
      <c r="E803" s="32">
        <v>0.75</v>
      </c>
      <c r="F803" s="32">
        <v>0.85</v>
      </c>
      <c r="G803" s="32">
        <v>0.5</v>
      </c>
      <c r="H803" s="32">
        <v>0.725</v>
      </c>
      <c r="I803" s="40">
        <f aca="true" t="shared" si="190" ref="I803:I810">AVERAGE(B803:H803)</f>
        <v>0.7071428571428571</v>
      </c>
    </row>
    <row r="804" spans="1:9" ht="12.75">
      <c r="A804" s="6">
        <v>10</v>
      </c>
      <c r="B804" s="32">
        <v>0.5</v>
      </c>
      <c r="C804" s="32">
        <v>0.875</v>
      </c>
      <c r="D804" s="32">
        <v>0.6</v>
      </c>
      <c r="E804" s="32">
        <v>0.7</v>
      </c>
      <c r="F804" s="32">
        <v>0.825</v>
      </c>
      <c r="G804" s="32">
        <v>0.45</v>
      </c>
      <c r="H804" s="32">
        <v>0.7</v>
      </c>
      <c r="I804" s="40">
        <f t="shared" si="190"/>
        <v>0.6642857142857144</v>
      </c>
    </row>
    <row r="805" spans="1:9" ht="12.75">
      <c r="A805" s="6">
        <v>100</v>
      </c>
      <c r="B805" s="32">
        <v>0.4</v>
      </c>
      <c r="C805" s="32">
        <v>0.85</v>
      </c>
      <c r="D805" s="32">
        <v>0.55</v>
      </c>
      <c r="E805" s="32">
        <v>0.65</v>
      </c>
      <c r="F805" s="32">
        <v>0.8</v>
      </c>
      <c r="G805" s="32">
        <v>0.375</v>
      </c>
      <c r="H805" s="32">
        <v>0.625</v>
      </c>
      <c r="I805" s="40">
        <f t="shared" si="190"/>
        <v>0.6071428571428571</v>
      </c>
    </row>
    <row r="806" spans="1:9" ht="12.75">
      <c r="A806" s="6">
        <v>1000</v>
      </c>
      <c r="B806" s="32">
        <v>0.25</v>
      </c>
      <c r="C806" s="32">
        <v>0.75</v>
      </c>
      <c r="D806" s="32">
        <v>0.5</v>
      </c>
      <c r="E806" s="32">
        <v>0.625</v>
      </c>
      <c r="F806" s="32">
        <v>0.65</v>
      </c>
      <c r="G806" s="32">
        <v>0.225</v>
      </c>
      <c r="H806" s="32">
        <v>0.575</v>
      </c>
      <c r="I806" s="40">
        <f t="shared" si="190"/>
        <v>0.5107142857142858</v>
      </c>
    </row>
    <row r="807" spans="1:9" ht="12.75">
      <c r="A807" s="6">
        <v>10000</v>
      </c>
      <c r="B807" s="32">
        <v>0.2</v>
      </c>
      <c r="C807" s="32">
        <v>0.5</v>
      </c>
      <c r="D807" s="32">
        <v>0.45</v>
      </c>
      <c r="E807" s="32">
        <v>0.5</v>
      </c>
      <c r="F807" s="32">
        <v>0.5</v>
      </c>
      <c r="G807" s="41">
        <v>0.15</v>
      </c>
      <c r="H807" s="32">
        <v>0.45</v>
      </c>
      <c r="I807" s="40">
        <f t="shared" si="190"/>
        <v>0.39285714285714285</v>
      </c>
    </row>
    <row r="808" spans="1:9" ht="12.75">
      <c r="A808" s="6">
        <v>100000</v>
      </c>
      <c r="B808" s="32">
        <v>0.125</v>
      </c>
      <c r="C808" s="32">
        <v>0.35</v>
      </c>
      <c r="D808" s="32">
        <v>0.25</v>
      </c>
      <c r="E808" s="32">
        <v>0.35</v>
      </c>
      <c r="F808" s="32">
        <v>0.35</v>
      </c>
      <c r="G808" s="32">
        <v>0.125</v>
      </c>
      <c r="H808" s="32">
        <v>0.325</v>
      </c>
      <c r="I808" s="40">
        <f t="shared" si="190"/>
        <v>0.26785714285714285</v>
      </c>
    </row>
    <row r="809" spans="1:9" ht="12.75">
      <c r="A809" s="7">
        <v>1000000</v>
      </c>
      <c r="B809" s="32">
        <v>0.1</v>
      </c>
      <c r="C809" s="32">
        <v>0.3</v>
      </c>
      <c r="D809" s="32">
        <v>0.2</v>
      </c>
      <c r="E809" s="32">
        <v>0.325</v>
      </c>
      <c r="F809" s="32">
        <v>0.3</v>
      </c>
      <c r="G809" s="32">
        <v>0.075</v>
      </c>
      <c r="H809" s="32">
        <v>0.3</v>
      </c>
      <c r="I809" s="40">
        <f t="shared" si="190"/>
        <v>0.2285714285714286</v>
      </c>
    </row>
    <row r="810" spans="1:9" ht="12.75">
      <c r="A810" s="9" t="s">
        <v>7</v>
      </c>
      <c r="B810" s="40">
        <f aca="true" t="shared" si="191" ref="B810:H810">AVERAGE(B803:B809)</f>
        <v>0.30357142857142866</v>
      </c>
      <c r="C810" s="40">
        <f t="shared" si="191"/>
        <v>0.65</v>
      </c>
      <c r="D810" s="40">
        <f t="shared" si="191"/>
        <v>0.4571428571428572</v>
      </c>
      <c r="E810" s="40">
        <f t="shared" si="191"/>
        <v>0.5571428571428572</v>
      </c>
      <c r="F810" s="40">
        <f t="shared" si="191"/>
        <v>0.6107142857142857</v>
      </c>
      <c r="G810" s="40">
        <f t="shared" si="191"/>
        <v>0.2714285714285714</v>
      </c>
      <c r="H810" s="40">
        <f t="shared" si="191"/>
        <v>0.5285714285714286</v>
      </c>
      <c r="I810" s="40">
        <f t="shared" si="190"/>
        <v>0.4826530612244898</v>
      </c>
    </row>
    <row r="813" ht="12.75">
      <c r="A813" s="1" t="s">
        <v>382</v>
      </c>
    </row>
    <row r="814" ht="12.75">
      <c r="A814" s="29" t="s">
        <v>67</v>
      </c>
    </row>
    <row r="816" spans="2:9" ht="12.75">
      <c r="B816" s="3"/>
      <c r="C816" s="3"/>
      <c r="D816" s="3" t="s">
        <v>41</v>
      </c>
      <c r="E816" s="3" t="s">
        <v>14</v>
      </c>
      <c r="F816" s="3"/>
      <c r="G816" s="3" t="s">
        <v>9</v>
      </c>
      <c r="H816" s="3"/>
      <c r="I816" s="9"/>
    </row>
    <row r="817" spans="2:9" ht="12.75">
      <c r="B817" s="3" t="s">
        <v>1</v>
      </c>
      <c r="C817" s="3" t="s">
        <v>3</v>
      </c>
      <c r="D817" s="3" t="s">
        <v>4</v>
      </c>
      <c r="E817" s="3" t="s">
        <v>5</v>
      </c>
      <c r="F817" s="3" t="s">
        <v>26</v>
      </c>
      <c r="G817" s="3" t="s">
        <v>10</v>
      </c>
      <c r="H817" s="3" t="s">
        <v>6</v>
      </c>
      <c r="I817" s="9"/>
    </row>
    <row r="818" spans="2:9" ht="12.75">
      <c r="B818" s="3" t="s">
        <v>2</v>
      </c>
      <c r="C818" s="3" t="s">
        <v>2</v>
      </c>
      <c r="D818" s="3" t="s">
        <v>2</v>
      </c>
      <c r="E818" s="3" t="s">
        <v>2</v>
      </c>
      <c r="F818" s="3" t="s">
        <v>2</v>
      </c>
      <c r="G818" s="3" t="s">
        <v>2</v>
      </c>
      <c r="H818" s="3" t="s">
        <v>2</v>
      </c>
      <c r="I818" s="21" t="s">
        <v>7</v>
      </c>
    </row>
    <row r="819" ht="12.75">
      <c r="A819" s="4" t="s">
        <v>0</v>
      </c>
    </row>
    <row r="820" spans="1:9" ht="12.75">
      <c r="A820" s="6">
        <v>1</v>
      </c>
      <c r="B820" s="5">
        <f aca="true" t="shared" si="192" ref="B820:H820">1*B803</f>
        <v>0.55</v>
      </c>
      <c r="C820" s="5">
        <f t="shared" si="192"/>
        <v>0.925</v>
      </c>
      <c r="D820" s="5">
        <f t="shared" si="192"/>
        <v>0.65</v>
      </c>
      <c r="E820" s="5">
        <f t="shared" si="192"/>
        <v>0.75</v>
      </c>
      <c r="F820" s="5">
        <f t="shared" si="192"/>
        <v>0.85</v>
      </c>
      <c r="G820" s="5">
        <f t="shared" si="192"/>
        <v>0.5</v>
      </c>
      <c r="H820" s="5">
        <f t="shared" si="192"/>
        <v>0.725</v>
      </c>
      <c r="I820" s="10">
        <f aca="true" t="shared" si="193" ref="I820:I827">AVERAGE(B820:H820)</f>
        <v>0.7071428571428571</v>
      </c>
    </row>
    <row r="821" spans="1:9" ht="12.75">
      <c r="A821" s="6">
        <v>10</v>
      </c>
      <c r="B821" s="5">
        <f aca="true" t="shared" si="194" ref="B821:I821">10*B804</f>
        <v>5</v>
      </c>
      <c r="C821" s="5">
        <f t="shared" si="194"/>
        <v>8.75</v>
      </c>
      <c r="D821" s="5">
        <f t="shared" si="194"/>
        <v>6</v>
      </c>
      <c r="E821" s="5">
        <f t="shared" si="194"/>
        <v>7</v>
      </c>
      <c r="F821" s="5">
        <f t="shared" si="194"/>
        <v>8.25</v>
      </c>
      <c r="G821" s="5">
        <f t="shared" si="194"/>
        <v>4.5</v>
      </c>
      <c r="H821" s="5">
        <f t="shared" si="194"/>
        <v>7</v>
      </c>
      <c r="I821" s="5">
        <f t="shared" si="194"/>
        <v>6.642857142857144</v>
      </c>
    </row>
    <row r="822" spans="1:9" ht="12.75">
      <c r="A822" s="6">
        <v>100</v>
      </c>
      <c r="B822" s="5">
        <f aca="true" t="shared" si="195" ref="B822:H822">100*B805</f>
        <v>40</v>
      </c>
      <c r="C822" s="5">
        <f t="shared" si="195"/>
        <v>85</v>
      </c>
      <c r="D822" s="5">
        <f t="shared" si="195"/>
        <v>55.00000000000001</v>
      </c>
      <c r="E822" s="5">
        <f t="shared" si="195"/>
        <v>65</v>
      </c>
      <c r="F822" s="5">
        <f t="shared" si="195"/>
        <v>80</v>
      </c>
      <c r="G822" s="5">
        <f t="shared" si="195"/>
        <v>37.5</v>
      </c>
      <c r="H822" s="5">
        <f t="shared" si="195"/>
        <v>62.5</v>
      </c>
      <c r="I822" s="5">
        <f>AVERAGE(B822:H822)</f>
        <v>60.714285714285715</v>
      </c>
    </row>
    <row r="823" spans="1:9" ht="12.75">
      <c r="A823" s="6">
        <v>1000</v>
      </c>
      <c r="B823" s="5">
        <f aca="true" t="shared" si="196" ref="B823:H823">1000*B806</f>
        <v>250</v>
      </c>
      <c r="C823" s="5">
        <f t="shared" si="196"/>
        <v>750</v>
      </c>
      <c r="D823" s="5">
        <f t="shared" si="196"/>
        <v>500</v>
      </c>
      <c r="E823" s="5">
        <f t="shared" si="196"/>
        <v>625</v>
      </c>
      <c r="F823" s="5">
        <f t="shared" si="196"/>
        <v>650</v>
      </c>
      <c r="G823" s="5">
        <f t="shared" si="196"/>
        <v>225</v>
      </c>
      <c r="H823" s="5">
        <f t="shared" si="196"/>
        <v>575</v>
      </c>
      <c r="I823" s="10">
        <f>AVERAGE(B823:H823)</f>
        <v>510.7142857142857</v>
      </c>
    </row>
    <row r="824" spans="1:9" ht="12.75">
      <c r="A824" s="6">
        <v>10000</v>
      </c>
      <c r="B824" s="5">
        <f aca="true" t="shared" si="197" ref="B824:H824">10000*B807</f>
        <v>2000</v>
      </c>
      <c r="C824" s="5">
        <f t="shared" si="197"/>
        <v>5000</v>
      </c>
      <c r="D824" s="5">
        <f t="shared" si="197"/>
        <v>4500</v>
      </c>
      <c r="E824" s="5">
        <f t="shared" si="197"/>
        <v>5000</v>
      </c>
      <c r="F824" s="5">
        <f t="shared" si="197"/>
        <v>5000</v>
      </c>
      <c r="G824" s="5">
        <f t="shared" si="197"/>
        <v>1500</v>
      </c>
      <c r="H824" s="5">
        <f t="shared" si="197"/>
        <v>4500</v>
      </c>
      <c r="I824" s="10">
        <f t="shared" si="193"/>
        <v>3928.5714285714284</v>
      </c>
    </row>
    <row r="825" spans="1:9" ht="12.75">
      <c r="A825" s="6">
        <v>100000</v>
      </c>
      <c r="B825" s="5">
        <f aca="true" t="shared" si="198" ref="B825:H825">100000*B808</f>
        <v>12500</v>
      </c>
      <c r="C825" s="5">
        <f t="shared" si="198"/>
        <v>35000</v>
      </c>
      <c r="D825" s="5">
        <f t="shared" si="198"/>
        <v>25000</v>
      </c>
      <c r="E825" s="5">
        <f t="shared" si="198"/>
        <v>35000</v>
      </c>
      <c r="F825" s="5">
        <f t="shared" si="198"/>
        <v>35000</v>
      </c>
      <c r="G825" s="5">
        <f t="shared" si="198"/>
        <v>12500</v>
      </c>
      <c r="H825" s="5">
        <f t="shared" si="198"/>
        <v>32500</v>
      </c>
      <c r="I825" s="10">
        <f t="shared" si="193"/>
        <v>26785.714285714286</v>
      </c>
    </row>
    <row r="826" spans="1:9" ht="12.75">
      <c r="A826" s="7">
        <v>1000000</v>
      </c>
      <c r="B826" s="5">
        <f aca="true" t="shared" si="199" ref="B826:H826">1000000*B809</f>
        <v>100000</v>
      </c>
      <c r="C826" s="5">
        <f t="shared" si="199"/>
        <v>300000</v>
      </c>
      <c r="D826" s="5">
        <f t="shared" si="199"/>
        <v>200000</v>
      </c>
      <c r="E826" s="5">
        <f t="shared" si="199"/>
        <v>325000</v>
      </c>
      <c r="F826" s="5">
        <f t="shared" si="199"/>
        <v>300000</v>
      </c>
      <c r="G826" s="5">
        <f t="shared" si="199"/>
        <v>75000</v>
      </c>
      <c r="H826" s="5">
        <f t="shared" si="199"/>
        <v>300000</v>
      </c>
      <c r="I826" s="10">
        <f t="shared" si="193"/>
        <v>228571.42857142858</v>
      </c>
    </row>
    <row r="827" spans="1:9" ht="12.75">
      <c r="A827" s="9" t="s">
        <v>7</v>
      </c>
      <c r="B827" s="10">
        <f>AVERAGE(B820:B826)</f>
        <v>16399.364285714288</v>
      </c>
      <c r="C827" s="10">
        <f>AVERAGE(C820:C826)</f>
        <v>48692.09642857143</v>
      </c>
      <c r="D827" s="10">
        <f>AVERAGE(D820:D826)</f>
        <v>32865.95</v>
      </c>
      <c r="E827" s="5">
        <f>AVERAGE(E819:E826)</f>
        <v>52242.53571428572</v>
      </c>
      <c r="F827" s="10">
        <f>AVERAGE(F820:F826)</f>
        <v>48677.014285714286</v>
      </c>
      <c r="G827" s="10">
        <f>AVERAGE(G820:G826)</f>
        <v>12752.5</v>
      </c>
      <c r="H827" s="10">
        <f>AVERAGE(H820:H826)</f>
        <v>48235.03214285714</v>
      </c>
      <c r="I827" s="10">
        <f t="shared" si="193"/>
        <v>37123.49897959184</v>
      </c>
    </row>
    <row r="830" ht="12.75">
      <c r="A830" s="1" t="s">
        <v>391</v>
      </c>
    </row>
    <row r="831" ht="12.75">
      <c r="A831" s="29" t="s">
        <v>269</v>
      </c>
    </row>
    <row r="833" spans="2:9" ht="12.75">
      <c r="B833" s="3"/>
      <c r="C833" s="3"/>
      <c r="D833" s="3" t="s">
        <v>41</v>
      </c>
      <c r="E833" s="3" t="s">
        <v>14</v>
      </c>
      <c r="F833" s="3"/>
      <c r="G833" s="3" t="s">
        <v>9</v>
      </c>
      <c r="H833" s="3"/>
      <c r="I833" s="9"/>
    </row>
    <row r="834" spans="2:9" ht="12.75">
      <c r="B834" s="3" t="s">
        <v>1</v>
      </c>
      <c r="C834" s="3" t="s">
        <v>3</v>
      </c>
      <c r="D834" s="3" t="s">
        <v>4</v>
      </c>
      <c r="E834" s="3" t="s">
        <v>5</v>
      </c>
      <c r="F834" s="3" t="s">
        <v>26</v>
      </c>
      <c r="G834" s="3" t="s">
        <v>10</v>
      </c>
      <c r="H834" s="3" t="s">
        <v>6</v>
      </c>
      <c r="I834" s="9"/>
    </row>
    <row r="835" spans="2:9" ht="12.75">
      <c r="B835" s="3" t="s">
        <v>2</v>
      </c>
      <c r="C835" s="3" t="s">
        <v>2</v>
      </c>
      <c r="D835" s="3" t="s">
        <v>2</v>
      </c>
      <c r="E835" s="3" t="s">
        <v>2</v>
      </c>
      <c r="F835" s="3" t="s">
        <v>2</v>
      </c>
      <c r="G835" s="3" t="s">
        <v>2</v>
      </c>
      <c r="H835" s="3" t="s">
        <v>2</v>
      </c>
      <c r="I835" s="21" t="s">
        <v>89</v>
      </c>
    </row>
    <row r="836" ht="12.75">
      <c r="A836" s="1"/>
    </row>
    <row r="837" spans="1:9" ht="12.75">
      <c r="A837" t="s">
        <v>87</v>
      </c>
      <c r="B837" s="6">
        <v>5000</v>
      </c>
      <c r="C837" s="6">
        <v>850</v>
      </c>
      <c r="D837" s="6">
        <v>2400</v>
      </c>
      <c r="E837" s="6">
        <v>2550</v>
      </c>
      <c r="F837" s="6">
        <v>1650</v>
      </c>
      <c r="G837" s="6">
        <v>350</v>
      </c>
      <c r="H837" s="6">
        <v>250</v>
      </c>
      <c r="I837" s="6">
        <f>SUM(B837:H837)</f>
        <v>13050</v>
      </c>
    </row>
    <row r="838" ht="12.75">
      <c r="A838" t="s">
        <v>2</v>
      </c>
    </row>
    <row r="839" ht="12.75">
      <c r="A839" t="s">
        <v>103</v>
      </c>
    </row>
    <row r="841" spans="1:9" ht="12.75">
      <c r="A841" s="6" t="s">
        <v>87</v>
      </c>
      <c r="B841" s="6">
        <v>450</v>
      </c>
      <c r="C841" s="6">
        <v>50</v>
      </c>
      <c r="D841" s="6">
        <v>350</v>
      </c>
      <c r="E841" s="6">
        <v>300</v>
      </c>
      <c r="F841" s="6">
        <v>250</v>
      </c>
      <c r="G841" s="6">
        <v>50</v>
      </c>
      <c r="H841" s="6">
        <v>50</v>
      </c>
      <c r="I841" s="6">
        <f>SUM(B841:H841)</f>
        <v>1500</v>
      </c>
    </row>
    <row r="842" ht="12.75">
      <c r="A842" t="s">
        <v>98</v>
      </c>
    </row>
    <row r="843" ht="12.75">
      <c r="A843" t="s">
        <v>2</v>
      </c>
    </row>
    <row r="845" ht="12.75">
      <c r="A845" t="s">
        <v>88</v>
      </c>
    </row>
    <row r="847" spans="1:9" ht="12.75">
      <c r="A847" t="s">
        <v>104</v>
      </c>
      <c r="B847">
        <v>1973</v>
      </c>
      <c r="C847">
        <v>2000</v>
      </c>
      <c r="D847">
        <v>1983</v>
      </c>
      <c r="E847">
        <v>1973</v>
      </c>
      <c r="F847">
        <v>1973</v>
      </c>
      <c r="G847">
        <v>1977</v>
      </c>
      <c r="H847">
        <v>1984</v>
      </c>
      <c r="I847">
        <v>1973</v>
      </c>
    </row>
    <row r="849" spans="1:9" ht="12.75">
      <c r="A849" t="s">
        <v>105</v>
      </c>
      <c r="B849">
        <v>2008</v>
      </c>
      <c r="C849">
        <v>2008</v>
      </c>
      <c r="D849">
        <v>2008</v>
      </c>
      <c r="E849">
        <v>2008</v>
      </c>
      <c r="F849">
        <v>2008</v>
      </c>
      <c r="G849">
        <v>2008</v>
      </c>
      <c r="H849">
        <v>2008</v>
      </c>
      <c r="I849">
        <v>2008</v>
      </c>
    </row>
    <row r="851" spans="1:9" ht="12.75">
      <c r="A851" s="29" t="s">
        <v>268</v>
      </c>
      <c r="B851">
        <f aca="true" t="shared" si="200" ref="B851:H851">B849-B847</f>
        <v>35</v>
      </c>
      <c r="C851">
        <f t="shared" si="200"/>
        <v>8</v>
      </c>
      <c r="D851">
        <f t="shared" si="200"/>
        <v>25</v>
      </c>
      <c r="E851">
        <f t="shared" si="200"/>
        <v>35</v>
      </c>
      <c r="F851">
        <f t="shared" si="200"/>
        <v>35</v>
      </c>
      <c r="G851">
        <f t="shared" si="200"/>
        <v>31</v>
      </c>
      <c r="H851">
        <f t="shared" si="200"/>
        <v>24</v>
      </c>
      <c r="I851" s="42">
        <f>AVERAGE(B851:H851)</f>
        <v>27.571428571428573</v>
      </c>
    </row>
    <row r="854" spans="1:9" ht="12.75">
      <c r="A854" t="s">
        <v>106</v>
      </c>
      <c r="B854" s="6">
        <f aca="true" t="shared" si="201" ref="B854:H854">B354</f>
        <v>212010.000002975</v>
      </c>
      <c r="C854" s="6">
        <f t="shared" si="201"/>
        <v>402505.0000034</v>
      </c>
      <c r="D854" s="6">
        <f t="shared" si="201"/>
        <v>131255.00000184</v>
      </c>
      <c r="E854" s="6">
        <f t="shared" si="201"/>
        <v>118027</v>
      </c>
      <c r="F854" s="6">
        <f t="shared" si="201"/>
        <v>102508</v>
      </c>
      <c r="G854" s="6">
        <f t="shared" si="201"/>
        <v>88565</v>
      </c>
      <c r="H854" s="6">
        <f t="shared" si="201"/>
        <v>119095</v>
      </c>
      <c r="I854" s="6">
        <f>SUM(B854:H854)</f>
        <v>1173965.000008215</v>
      </c>
    </row>
    <row r="855" spans="1:9" ht="12.75">
      <c r="A855" t="s">
        <v>107</v>
      </c>
      <c r="B855" s="6"/>
      <c r="C855" s="6"/>
      <c r="D855" s="6"/>
      <c r="E855" s="6"/>
      <c r="F855" s="6"/>
      <c r="G855" s="6"/>
      <c r="H855" s="6"/>
      <c r="I855" s="6"/>
    </row>
    <row r="856" ht="12.75">
      <c r="A856" t="s">
        <v>99</v>
      </c>
    </row>
    <row r="857" ht="12.75">
      <c r="A857" t="s">
        <v>108</v>
      </c>
    </row>
    <row r="859" spans="1:9" ht="12.75">
      <c r="A859" t="s">
        <v>100</v>
      </c>
      <c r="B859" s="6">
        <f aca="true" t="shared" si="202" ref="B859:H859">B671</f>
        <v>34540.000014875</v>
      </c>
      <c r="C859" s="6">
        <f t="shared" si="202"/>
        <v>94720.000017</v>
      </c>
      <c r="D859" s="6">
        <f t="shared" si="202"/>
        <v>23020.0000092</v>
      </c>
      <c r="E859" s="6">
        <f t="shared" si="202"/>
        <v>21060</v>
      </c>
      <c r="F859" s="6">
        <f t="shared" si="202"/>
        <v>19235</v>
      </c>
      <c r="G859" s="6">
        <f t="shared" si="202"/>
        <v>15767.75</v>
      </c>
      <c r="H859" s="6">
        <f t="shared" si="202"/>
        <v>20772.5</v>
      </c>
      <c r="I859" s="6">
        <f>SUM(B859:H859)</f>
        <v>229115.250041075</v>
      </c>
    </row>
    <row r="860" ht="12.75">
      <c r="A860" t="s">
        <v>101</v>
      </c>
    </row>
    <row r="861" ht="12.75">
      <c r="A861" t="s">
        <v>99</v>
      </c>
    </row>
    <row r="862" spans="1:9" ht="12.75">
      <c r="A862" t="s">
        <v>108</v>
      </c>
      <c r="I862" s="6"/>
    </row>
    <row r="863" ht="12.75">
      <c r="I863" s="6"/>
    </row>
    <row r="864" spans="1:9" ht="12.75">
      <c r="A864" t="s">
        <v>102</v>
      </c>
      <c r="B864" s="6">
        <f aca="true" t="shared" si="203" ref="B864:H864">B854+B859</f>
        <v>246550.00001785</v>
      </c>
      <c r="C864" s="6">
        <f t="shared" si="203"/>
        <v>497225.00002040004</v>
      </c>
      <c r="D864" s="6">
        <f t="shared" si="203"/>
        <v>154275.00001104</v>
      </c>
      <c r="E864" s="6">
        <f t="shared" si="203"/>
        <v>139087</v>
      </c>
      <c r="F864" s="6">
        <f t="shared" si="203"/>
        <v>121743</v>
      </c>
      <c r="G864" s="6">
        <f t="shared" si="203"/>
        <v>104332.75</v>
      </c>
      <c r="H864" s="6">
        <f t="shared" si="203"/>
        <v>139867.5</v>
      </c>
      <c r="I864" s="6">
        <f>SUM(B864:H864)</f>
        <v>1403080.25004929</v>
      </c>
    </row>
    <row r="865" ht="12.75">
      <c r="A865" t="s">
        <v>101</v>
      </c>
    </row>
    <row r="866" ht="12.75">
      <c r="A866" t="s">
        <v>99</v>
      </c>
    </row>
    <row r="867" ht="12.75">
      <c r="A867" t="s">
        <v>108</v>
      </c>
    </row>
    <row r="869" spans="1:9" ht="12.75">
      <c r="A869" t="s">
        <v>90</v>
      </c>
      <c r="B869" s="26">
        <v>0.05</v>
      </c>
      <c r="C869" s="26">
        <v>0.05</v>
      </c>
      <c r="D869" s="26">
        <v>0.05</v>
      </c>
      <c r="E869" s="26">
        <v>0.05</v>
      </c>
      <c r="F869" s="26">
        <v>0.05</v>
      </c>
      <c r="G869" s="26">
        <v>0.05</v>
      </c>
      <c r="H869" s="26">
        <v>0.05</v>
      </c>
      <c r="I869" s="26">
        <v>0.05</v>
      </c>
    </row>
    <row r="870" spans="1:9" ht="12.75">
      <c r="A870" t="s">
        <v>91</v>
      </c>
      <c r="B870" s="6"/>
      <c r="C870" s="6"/>
      <c r="D870" s="6"/>
      <c r="E870" s="6"/>
      <c r="F870" s="6"/>
      <c r="G870" s="6"/>
      <c r="H870" s="6"/>
      <c r="I870" s="6"/>
    </row>
    <row r="871" spans="1:9" ht="12.75">
      <c r="A871" t="s">
        <v>92</v>
      </c>
      <c r="B871" s="6">
        <f aca="true" t="shared" si="204" ref="B871:I871">B864*0.05</f>
        <v>12327.5000008925</v>
      </c>
      <c r="C871" s="6">
        <f t="shared" si="204"/>
        <v>24861.250001020002</v>
      </c>
      <c r="D871" s="6">
        <f t="shared" si="204"/>
        <v>7713.750000552001</v>
      </c>
      <c r="E871" s="6">
        <f t="shared" si="204"/>
        <v>6954.35</v>
      </c>
      <c r="F871" s="6">
        <f t="shared" si="204"/>
        <v>6087.150000000001</v>
      </c>
      <c r="G871" s="6">
        <f t="shared" si="204"/>
        <v>5216.637500000001</v>
      </c>
      <c r="H871" s="6">
        <f t="shared" si="204"/>
        <v>6993.375</v>
      </c>
      <c r="I871" s="6">
        <f t="shared" si="204"/>
        <v>70154.01250246451</v>
      </c>
    </row>
    <row r="873" spans="1:9" ht="12.75">
      <c r="A873" t="s">
        <v>93</v>
      </c>
      <c r="B873" s="3" t="s">
        <v>96</v>
      </c>
      <c r="C873" s="3" t="s">
        <v>97</v>
      </c>
      <c r="D873" s="3" t="s">
        <v>96</v>
      </c>
      <c r="E873" s="3" t="s">
        <v>96</v>
      </c>
      <c r="F873" s="3" t="s">
        <v>96</v>
      </c>
      <c r="G873" s="3" t="s">
        <v>97</v>
      </c>
      <c r="H873" s="3" t="s">
        <v>97</v>
      </c>
      <c r="I873" s="3" t="s">
        <v>97</v>
      </c>
    </row>
    <row r="874" ht="12.75">
      <c r="A874" t="s">
        <v>94</v>
      </c>
    </row>
    <row r="875" ht="12.75">
      <c r="A875" t="s">
        <v>95</v>
      </c>
    </row>
    <row r="878" spans="1:5" ht="15">
      <c r="A878" s="1" t="s">
        <v>383</v>
      </c>
      <c r="B878" s="43" t="s">
        <v>288</v>
      </c>
      <c r="C878" s="43"/>
      <c r="D878" s="43"/>
      <c r="E878" s="43"/>
    </row>
    <row r="880" spans="1:3" ht="12.75">
      <c r="A880" t="s">
        <v>385</v>
      </c>
      <c r="C880" s="29"/>
    </row>
    <row r="881" spans="1:3" ht="12.75">
      <c r="A881" t="s">
        <v>287</v>
      </c>
      <c r="C881" s="29"/>
    </row>
    <row r="882" spans="2:3" ht="12.75">
      <c r="B882" s="29"/>
      <c r="C882" s="29"/>
    </row>
    <row r="883" ht="15">
      <c r="B883" t="s">
        <v>113</v>
      </c>
    </row>
    <row r="885" spans="2:5" ht="12.75">
      <c r="B885" t="s">
        <v>114</v>
      </c>
      <c r="E885" s="2">
        <v>39519</v>
      </c>
    </row>
    <row r="887" spans="2:5" ht="12.75">
      <c r="B887" s="1" t="s">
        <v>115</v>
      </c>
      <c r="E887" s="4" t="s">
        <v>116</v>
      </c>
    </row>
    <row r="888" ht="12.75">
      <c r="E888" s="4" t="s">
        <v>117</v>
      </c>
    </row>
    <row r="889" ht="12.75">
      <c r="E889" s="4" t="s">
        <v>118</v>
      </c>
    </row>
    <row r="890" ht="12.75">
      <c r="E890" s="3"/>
    </row>
    <row r="891" spans="1:5" ht="12.75">
      <c r="A891" t="s">
        <v>271</v>
      </c>
      <c r="E891" s="3"/>
    </row>
    <row r="892" spans="1:5" ht="12.75">
      <c r="A892" t="s">
        <v>270</v>
      </c>
      <c r="E892" s="3"/>
    </row>
    <row r="893" spans="1:5" ht="12.75">
      <c r="A893" t="s">
        <v>290</v>
      </c>
      <c r="E893" s="3"/>
    </row>
    <row r="894" spans="1:5" ht="12.75">
      <c r="A894" t="s">
        <v>289</v>
      </c>
      <c r="E894" s="3"/>
    </row>
    <row r="896" spans="1:5" ht="12.75">
      <c r="A896">
        <v>1</v>
      </c>
      <c r="B896" t="s">
        <v>119</v>
      </c>
      <c r="E896" s="6">
        <v>352330</v>
      </c>
    </row>
    <row r="897" spans="1:5" ht="12.75">
      <c r="A897">
        <v>2</v>
      </c>
      <c r="B897" t="s">
        <v>120</v>
      </c>
      <c r="E897" s="6">
        <v>310346</v>
      </c>
    </row>
    <row r="898" spans="1:5" ht="12.75">
      <c r="A898">
        <v>3</v>
      </c>
      <c r="B898" t="s">
        <v>121</v>
      </c>
      <c r="E898" s="6">
        <v>307328</v>
      </c>
    </row>
    <row r="899" spans="1:5" ht="12.75">
      <c r="A899">
        <v>4</v>
      </c>
      <c r="B899" t="s">
        <v>122</v>
      </c>
      <c r="E899" s="6">
        <v>306324</v>
      </c>
    </row>
    <row r="900" spans="1:5" ht="12.75">
      <c r="A900">
        <v>5</v>
      </c>
      <c r="B900" t="s">
        <v>123</v>
      </c>
      <c r="E900" s="6">
        <v>300655</v>
      </c>
    </row>
    <row r="901" spans="1:5" ht="12.75">
      <c r="A901">
        <v>6</v>
      </c>
      <c r="B901" t="s">
        <v>124</v>
      </c>
      <c r="E901" s="6">
        <v>296764</v>
      </c>
    </row>
    <row r="902" spans="1:5" ht="12.75">
      <c r="A902">
        <v>7</v>
      </c>
      <c r="B902" t="s">
        <v>125</v>
      </c>
      <c r="E902" s="6">
        <v>293388</v>
      </c>
    </row>
    <row r="903" spans="1:5" ht="12.75">
      <c r="A903">
        <v>8</v>
      </c>
      <c r="B903" t="s">
        <v>126</v>
      </c>
      <c r="E903" s="6">
        <v>273961</v>
      </c>
    </row>
    <row r="904" spans="1:5" ht="12.75">
      <c r="A904">
        <v>9</v>
      </c>
      <c r="B904" t="s">
        <v>127</v>
      </c>
      <c r="E904" s="6">
        <v>260100</v>
      </c>
    </row>
    <row r="905" spans="1:5" ht="12.75">
      <c r="A905">
        <v>10</v>
      </c>
      <c r="B905" t="s">
        <v>128</v>
      </c>
      <c r="E905" s="6">
        <v>253088</v>
      </c>
    </row>
    <row r="906" spans="1:5" ht="12.75">
      <c r="A906">
        <v>11</v>
      </c>
      <c r="B906" t="s">
        <v>129</v>
      </c>
      <c r="E906" s="6">
        <v>157658</v>
      </c>
    </row>
    <row r="907" spans="1:5" ht="12.75">
      <c r="A907">
        <v>12</v>
      </c>
      <c r="B907" t="s">
        <v>130</v>
      </c>
      <c r="E907" s="6">
        <v>126788</v>
      </c>
    </row>
    <row r="908" spans="1:5" ht="12.75">
      <c r="A908">
        <v>13</v>
      </c>
      <c r="B908" t="s">
        <v>131</v>
      </c>
      <c r="E908" s="6">
        <v>104738</v>
      </c>
    </row>
    <row r="909" ht="12.75">
      <c r="E909" s="6"/>
    </row>
    <row r="910" spans="1:5" ht="12.75">
      <c r="A910" t="s">
        <v>272</v>
      </c>
      <c r="E910" s="6"/>
    </row>
    <row r="911" spans="1:5" ht="12.75">
      <c r="A911" t="s">
        <v>273</v>
      </c>
      <c r="E911" s="6"/>
    </row>
    <row r="912" spans="1:5" ht="12.75">
      <c r="A912" t="s">
        <v>280</v>
      </c>
      <c r="E912" s="6"/>
    </row>
    <row r="913" spans="1:5" ht="12.75">
      <c r="A913" t="s">
        <v>281</v>
      </c>
      <c r="E913" s="6"/>
    </row>
    <row r="914" spans="1:5" ht="12.75">
      <c r="A914" t="s">
        <v>282</v>
      </c>
      <c r="E914" s="6"/>
    </row>
    <row r="915" ht="12.75">
      <c r="E915" s="6"/>
    </row>
    <row r="916" spans="1:5" ht="12.75">
      <c r="A916">
        <v>14</v>
      </c>
      <c r="B916" t="s">
        <v>132</v>
      </c>
      <c r="E916" s="6">
        <v>93498</v>
      </c>
    </row>
    <row r="917" spans="1:5" ht="12.75">
      <c r="A917">
        <v>15</v>
      </c>
      <c r="B917" t="s">
        <v>133</v>
      </c>
      <c r="E917" s="6">
        <v>38392</v>
      </c>
    </row>
    <row r="918" spans="1:5" ht="12.75">
      <c r="A918">
        <v>16</v>
      </c>
      <c r="B918" t="s">
        <v>134</v>
      </c>
      <c r="E918" s="6">
        <v>35897</v>
      </c>
    </row>
    <row r="919" spans="1:5" ht="12.75">
      <c r="A919">
        <v>17</v>
      </c>
      <c r="B919" t="s">
        <v>135</v>
      </c>
      <c r="E919" s="6">
        <v>31111</v>
      </c>
    </row>
    <row r="920" spans="1:5" ht="12.75">
      <c r="A920">
        <v>18</v>
      </c>
      <c r="B920" t="s">
        <v>136</v>
      </c>
      <c r="E920" s="6">
        <v>25327</v>
      </c>
    </row>
    <row r="921" spans="1:5" ht="12.75">
      <c r="A921">
        <v>19</v>
      </c>
      <c r="B921" t="s">
        <v>137</v>
      </c>
      <c r="E921" s="6">
        <v>25075</v>
      </c>
    </row>
    <row r="922" spans="1:5" ht="12.75">
      <c r="A922">
        <v>20</v>
      </c>
      <c r="B922" t="s">
        <v>138</v>
      </c>
      <c r="E922" s="6">
        <v>23153</v>
      </c>
    </row>
    <row r="923" spans="1:5" ht="12.75">
      <c r="A923">
        <v>21</v>
      </c>
      <c r="B923" t="s">
        <v>139</v>
      </c>
      <c r="E923" s="6">
        <v>23109</v>
      </c>
    </row>
    <row r="924" spans="1:5" ht="12.75">
      <c r="A924">
        <v>22</v>
      </c>
      <c r="B924" t="s">
        <v>140</v>
      </c>
      <c r="E924" s="6">
        <v>22481</v>
      </c>
    </row>
    <row r="925" spans="1:5" ht="12.75">
      <c r="A925">
        <v>23</v>
      </c>
      <c r="B925" t="s">
        <v>141</v>
      </c>
      <c r="E925" s="6">
        <v>22434</v>
      </c>
    </row>
    <row r="926" spans="1:5" ht="12.75">
      <c r="A926">
        <v>24</v>
      </c>
      <c r="B926" t="s">
        <v>142</v>
      </c>
      <c r="E926" s="6">
        <v>22278</v>
      </c>
    </row>
    <row r="927" spans="1:5" ht="12.75">
      <c r="A927">
        <v>25</v>
      </c>
      <c r="B927" t="s">
        <v>143</v>
      </c>
      <c r="E927" s="6">
        <v>21895</v>
      </c>
    </row>
    <row r="928" spans="1:5" ht="12.75">
      <c r="A928">
        <v>26</v>
      </c>
      <c r="B928" t="s">
        <v>144</v>
      </c>
      <c r="E928" s="6">
        <v>21813</v>
      </c>
    </row>
    <row r="929" spans="1:5" ht="12.75">
      <c r="A929">
        <v>27</v>
      </c>
      <c r="B929" t="s">
        <v>145</v>
      </c>
      <c r="E929" s="6">
        <v>21632</v>
      </c>
    </row>
    <row r="930" spans="1:5" ht="12.75">
      <c r="A930">
        <v>28</v>
      </c>
      <c r="B930" t="s">
        <v>146</v>
      </c>
      <c r="E930" s="6">
        <v>21202</v>
      </c>
    </row>
    <row r="931" spans="1:5" ht="12.75">
      <c r="A931">
        <v>29</v>
      </c>
      <c r="B931" t="s">
        <v>147</v>
      </c>
      <c r="E931" s="6">
        <v>21199</v>
      </c>
    </row>
    <row r="932" spans="1:5" ht="12.75">
      <c r="A932">
        <v>30</v>
      </c>
      <c r="B932" t="s">
        <v>148</v>
      </c>
      <c r="E932" s="6">
        <v>20350</v>
      </c>
    </row>
    <row r="933" spans="1:5" ht="12.75">
      <c r="A933">
        <v>31</v>
      </c>
      <c r="B933" t="s">
        <v>149</v>
      </c>
      <c r="E933" s="6">
        <v>20141</v>
      </c>
    </row>
    <row r="934" spans="1:5" ht="12.75">
      <c r="A934">
        <v>32</v>
      </c>
      <c r="B934" t="s">
        <v>150</v>
      </c>
      <c r="E934" s="6">
        <v>19569</v>
      </c>
    </row>
    <row r="935" spans="1:5" ht="12.75">
      <c r="A935">
        <v>33</v>
      </c>
      <c r="B935" t="s">
        <v>151</v>
      </c>
      <c r="E935" s="6">
        <v>19446</v>
      </c>
    </row>
    <row r="936" spans="1:5" ht="12.75">
      <c r="A936">
        <v>34</v>
      </c>
      <c r="B936" t="s">
        <v>152</v>
      </c>
      <c r="E936" s="6">
        <v>19394</v>
      </c>
    </row>
    <row r="937" spans="1:5" ht="12.75">
      <c r="A937">
        <v>35</v>
      </c>
      <c r="B937" t="s">
        <v>153</v>
      </c>
      <c r="E937" s="6">
        <v>19383</v>
      </c>
    </row>
    <row r="938" spans="1:5" ht="12.75">
      <c r="A938">
        <v>36</v>
      </c>
      <c r="B938" t="s">
        <v>154</v>
      </c>
      <c r="E938" s="6">
        <v>19366</v>
      </c>
    </row>
    <row r="939" spans="1:5" ht="12.75">
      <c r="A939">
        <v>37</v>
      </c>
      <c r="B939" t="s">
        <v>155</v>
      </c>
      <c r="E939" s="6">
        <v>19084</v>
      </c>
    </row>
    <row r="940" spans="1:5" ht="12.75">
      <c r="A940">
        <v>38</v>
      </c>
      <c r="B940" t="s">
        <v>156</v>
      </c>
      <c r="E940" s="6">
        <v>19013</v>
      </c>
    </row>
    <row r="941" spans="1:5" ht="12.75">
      <c r="A941">
        <v>39</v>
      </c>
      <c r="B941" t="s">
        <v>157</v>
      </c>
      <c r="E941" s="6">
        <v>18896</v>
      </c>
    </row>
    <row r="942" spans="1:5" ht="12.75">
      <c r="A942">
        <v>40</v>
      </c>
      <c r="B942" t="s">
        <v>158</v>
      </c>
      <c r="E942" s="6">
        <v>18785</v>
      </c>
    </row>
    <row r="943" spans="1:5" ht="12.75">
      <c r="A943">
        <v>41</v>
      </c>
      <c r="B943" t="s">
        <v>159</v>
      </c>
      <c r="E943" s="6">
        <v>18640</v>
      </c>
    </row>
    <row r="944" spans="1:5" ht="12.75">
      <c r="A944">
        <v>42</v>
      </c>
      <c r="B944" t="s">
        <v>160</v>
      </c>
      <c r="E944" s="6">
        <v>18080</v>
      </c>
    </row>
    <row r="945" spans="1:5" ht="12.75">
      <c r="A945">
        <v>43</v>
      </c>
      <c r="B945" t="s">
        <v>161</v>
      </c>
      <c r="E945" s="6">
        <v>18052</v>
      </c>
    </row>
    <row r="946" spans="1:5" ht="12.75">
      <c r="A946">
        <v>44</v>
      </c>
      <c r="B946" t="s">
        <v>162</v>
      </c>
      <c r="E946" s="6">
        <v>17884</v>
      </c>
    </row>
    <row r="947" spans="1:5" ht="12.75">
      <c r="A947">
        <v>45</v>
      </c>
      <c r="B947" t="s">
        <v>163</v>
      </c>
      <c r="E947" s="6">
        <v>17505</v>
      </c>
    </row>
    <row r="948" spans="1:5" ht="12.75">
      <c r="A948">
        <v>46</v>
      </c>
      <c r="B948" t="s">
        <v>164</v>
      </c>
      <c r="E948" s="6">
        <v>17471</v>
      </c>
    </row>
    <row r="949" spans="1:5" ht="12.75">
      <c r="A949">
        <v>47</v>
      </c>
      <c r="B949" t="s">
        <v>165</v>
      </c>
      <c r="E949" s="6">
        <v>17378</v>
      </c>
    </row>
    <row r="950" spans="1:5" ht="12.75">
      <c r="A950">
        <v>48</v>
      </c>
      <c r="B950" t="s">
        <v>166</v>
      </c>
      <c r="E950" s="6">
        <v>17378</v>
      </c>
    </row>
    <row r="951" spans="1:5" ht="12.75">
      <c r="A951">
        <v>49</v>
      </c>
      <c r="B951" t="s">
        <v>167</v>
      </c>
      <c r="E951" s="6">
        <v>17311</v>
      </c>
    </row>
    <row r="952" spans="1:5" ht="12.75">
      <c r="A952">
        <v>50</v>
      </c>
      <c r="B952" t="s">
        <v>164</v>
      </c>
      <c r="E952" s="6">
        <v>17203</v>
      </c>
    </row>
    <row r="953" spans="1:5" ht="12.75">
      <c r="A953">
        <v>51</v>
      </c>
      <c r="B953" t="s">
        <v>168</v>
      </c>
      <c r="E953" s="6">
        <v>17002</v>
      </c>
    </row>
    <row r="954" spans="1:5" ht="12.75">
      <c r="A954">
        <v>52</v>
      </c>
      <c r="B954" t="s">
        <v>169</v>
      </c>
      <c r="E954" s="6">
        <v>16895</v>
      </c>
    </row>
    <row r="955" spans="1:5" ht="12.75">
      <c r="A955">
        <v>53</v>
      </c>
      <c r="B955" t="s">
        <v>170</v>
      </c>
      <c r="E955" s="6">
        <v>16661</v>
      </c>
    </row>
    <row r="956" spans="1:5" ht="12.75">
      <c r="A956">
        <v>54</v>
      </c>
      <c r="B956" t="s">
        <v>171</v>
      </c>
      <c r="E956" s="6">
        <v>16390</v>
      </c>
    </row>
    <row r="957" spans="1:5" ht="12.75">
      <c r="A957">
        <v>55</v>
      </c>
      <c r="B957" t="s">
        <v>172</v>
      </c>
      <c r="E957" s="6">
        <v>16239</v>
      </c>
    </row>
    <row r="958" spans="1:5" ht="12.75">
      <c r="A958">
        <v>56</v>
      </c>
      <c r="B958" t="s">
        <v>173</v>
      </c>
      <c r="E958" s="6">
        <v>16233</v>
      </c>
    </row>
    <row r="959" spans="1:5" ht="12.75">
      <c r="A959">
        <v>57</v>
      </c>
      <c r="B959" t="s">
        <v>174</v>
      </c>
      <c r="E959" s="6">
        <v>15392</v>
      </c>
    </row>
    <row r="960" spans="1:5" ht="12.75">
      <c r="A960">
        <v>58</v>
      </c>
      <c r="B960" t="s">
        <v>175</v>
      </c>
      <c r="E960" s="6">
        <v>14956</v>
      </c>
    </row>
    <row r="961" spans="1:5" ht="12.75">
      <c r="A961">
        <v>59</v>
      </c>
      <c r="B961" t="s">
        <v>176</v>
      </c>
      <c r="E961" s="6">
        <v>14912</v>
      </c>
    </row>
    <row r="962" spans="1:5" ht="12.75">
      <c r="A962">
        <v>60</v>
      </c>
      <c r="B962" t="s">
        <v>177</v>
      </c>
      <c r="E962" s="6">
        <v>14761</v>
      </c>
    </row>
    <row r="963" spans="1:5" ht="12.75">
      <c r="A963">
        <v>61</v>
      </c>
      <c r="B963" t="s">
        <v>178</v>
      </c>
      <c r="E963" s="6">
        <v>14019</v>
      </c>
    </row>
    <row r="964" spans="1:5" ht="12.75">
      <c r="A964">
        <v>62</v>
      </c>
      <c r="B964" t="s">
        <v>179</v>
      </c>
      <c r="E964" s="6">
        <v>13823</v>
      </c>
    </row>
    <row r="965" spans="1:5" ht="12.75">
      <c r="A965">
        <v>63</v>
      </c>
      <c r="B965" t="s">
        <v>180</v>
      </c>
      <c r="E965" s="6">
        <v>13811</v>
      </c>
    </row>
    <row r="966" spans="1:5" ht="12.75">
      <c r="A966">
        <v>64</v>
      </c>
      <c r="B966" t="s">
        <v>181</v>
      </c>
      <c r="E966" s="6">
        <v>11339</v>
      </c>
    </row>
    <row r="967" spans="1:5" ht="12.75">
      <c r="A967">
        <v>65</v>
      </c>
      <c r="B967" t="s">
        <v>182</v>
      </c>
      <c r="E967" s="6">
        <v>11033</v>
      </c>
    </row>
    <row r="968" spans="1:5" ht="12.75">
      <c r="A968">
        <v>66</v>
      </c>
      <c r="B968" t="s">
        <v>183</v>
      </c>
      <c r="E968" s="6">
        <v>10927</v>
      </c>
    </row>
    <row r="969" spans="1:5" ht="12.75">
      <c r="A969">
        <v>67</v>
      </c>
      <c r="B969" t="s">
        <v>184</v>
      </c>
      <c r="E969" s="6">
        <v>10491</v>
      </c>
    </row>
    <row r="970" spans="1:5" ht="12.75">
      <c r="A970">
        <v>68</v>
      </c>
      <c r="B970" t="s">
        <v>185</v>
      </c>
      <c r="E970" s="6">
        <v>10380</v>
      </c>
    </row>
    <row r="971" ht="12.75">
      <c r="E971" s="6"/>
    </row>
    <row r="972" spans="1:5" ht="12.75">
      <c r="A972" t="s">
        <v>274</v>
      </c>
      <c r="E972" s="6"/>
    </row>
    <row r="973" spans="1:5" ht="12.75">
      <c r="A973" t="s">
        <v>284</v>
      </c>
      <c r="E973" s="6"/>
    </row>
    <row r="974" spans="1:5" ht="12.75">
      <c r="A974" t="s">
        <v>283</v>
      </c>
      <c r="E974" s="6"/>
    </row>
    <row r="975" ht="12.75">
      <c r="E975" s="6"/>
    </row>
    <row r="976" spans="1:5" ht="12.75">
      <c r="A976">
        <v>69</v>
      </c>
      <c r="B976" t="s">
        <v>186</v>
      </c>
      <c r="E976" s="6">
        <v>6386</v>
      </c>
    </row>
    <row r="977" spans="1:5" ht="12.75">
      <c r="A977">
        <v>70</v>
      </c>
      <c r="B977" t="s">
        <v>187</v>
      </c>
      <c r="E977" s="6">
        <v>6213</v>
      </c>
    </row>
    <row r="978" spans="1:5" ht="12.75">
      <c r="A978">
        <v>71</v>
      </c>
      <c r="B978" t="s">
        <v>188</v>
      </c>
      <c r="E978" s="6">
        <v>5877</v>
      </c>
    </row>
    <row r="979" spans="1:5" ht="12.75">
      <c r="A979">
        <v>72</v>
      </c>
      <c r="B979" t="s">
        <v>189</v>
      </c>
      <c r="E979" s="6">
        <v>5170</v>
      </c>
    </row>
    <row r="980" spans="1:5" ht="12.75">
      <c r="A980">
        <v>73</v>
      </c>
      <c r="B980" t="s">
        <v>190</v>
      </c>
      <c r="E980" s="6">
        <v>4751</v>
      </c>
    </row>
    <row r="981" spans="1:5" ht="12.75">
      <c r="A981">
        <v>74</v>
      </c>
      <c r="B981" t="s">
        <v>191</v>
      </c>
      <c r="E981" s="6">
        <v>4571</v>
      </c>
    </row>
    <row r="982" spans="1:5" ht="12.75">
      <c r="A982">
        <v>75</v>
      </c>
      <c r="B982" t="s">
        <v>192</v>
      </c>
      <c r="E982" s="6">
        <v>4429</v>
      </c>
    </row>
    <row r="983" spans="1:5" ht="12.75">
      <c r="A983">
        <v>76</v>
      </c>
      <c r="B983" t="s">
        <v>193</v>
      </c>
      <c r="E983" s="6">
        <v>4017</v>
      </c>
    </row>
    <row r="984" spans="1:5" ht="12.75">
      <c r="A984">
        <v>77</v>
      </c>
      <c r="B984" t="s">
        <v>194</v>
      </c>
      <c r="E984" s="6">
        <v>3969</v>
      </c>
    </row>
    <row r="985" spans="1:5" ht="12.75">
      <c r="A985">
        <v>78</v>
      </c>
      <c r="B985" t="s">
        <v>195</v>
      </c>
      <c r="E985" s="6">
        <v>3917</v>
      </c>
    </row>
    <row r="986" spans="1:5" ht="12.75">
      <c r="A986">
        <v>79</v>
      </c>
      <c r="B986" t="s">
        <v>196</v>
      </c>
      <c r="E986" s="6">
        <v>3793</v>
      </c>
    </row>
    <row r="987" spans="1:5" ht="12.75">
      <c r="A987">
        <v>80</v>
      </c>
      <c r="B987" t="s">
        <v>197</v>
      </c>
      <c r="E987" s="6">
        <v>3625</v>
      </c>
    </row>
    <row r="988" spans="1:5" ht="12.75">
      <c r="A988">
        <v>81</v>
      </c>
      <c r="B988" t="s">
        <v>198</v>
      </c>
      <c r="E988" s="6">
        <v>3573</v>
      </c>
    </row>
    <row r="989" spans="1:5" ht="12.75">
      <c r="A989">
        <v>82</v>
      </c>
      <c r="B989" t="s">
        <v>199</v>
      </c>
      <c r="E989" s="6">
        <v>3505</v>
      </c>
    </row>
    <row r="990" spans="1:5" ht="12.75">
      <c r="A990">
        <v>83</v>
      </c>
      <c r="B990" t="s">
        <v>200</v>
      </c>
      <c r="E990" s="6">
        <v>3309</v>
      </c>
    </row>
    <row r="991" spans="1:5" ht="12.75">
      <c r="A991">
        <v>84</v>
      </c>
      <c r="B991" t="s">
        <v>201</v>
      </c>
      <c r="E991" s="6">
        <v>3200</v>
      </c>
    </row>
    <row r="992" spans="1:5" ht="12.75">
      <c r="A992">
        <v>85</v>
      </c>
      <c r="B992" t="s">
        <v>202</v>
      </c>
      <c r="E992" s="6">
        <v>2987</v>
      </c>
    </row>
    <row r="993" spans="1:5" ht="12.75">
      <c r="A993">
        <v>86</v>
      </c>
      <c r="B993" t="s">
        <v>203</v>
      </c>
      <c r="E993" s="6">
        <v>2507</v>
      </c>
    </row>
    <row r="994" spans="1:5" ht="12.75">
      <c r="A994">
        <v>87</v>
      </c>
      <c r="B994" t="s">
        <v>204</v>
      </c>
      <c r="E994" s="6">
        <v>2227</v>
      </c>
    </row>
    <row r="995" spans="1:5" ht="12.75">
      <c r="A995">
        <v>88</v>
      </c>
      <c r="B995" t="s">
        <v>205</v>
      </c>
      <c r="E995" s="6">
        <v>2151</v>
      </c>
    </row>
    <row r="996" spans="1:5" ht="12.75">
      <c r="A996">
        <v>89</v>
      </c>
      <c r="B996" t="s">
        <v>206</v>
      </c>
      <c r="E996" s="6">
        <v>2108</v>
      </c>
    </row>
    <row r="997" spans="1:5" ht="12.75">
      <c r="A997">
        <v>90</v>
      </c>
      <c r="B997" t="s">
        <v>207</v>
      </c>
      <c r="E997" s="6">
        <v>2068</v>
      </c>
    </row>
    <row r="998" spans="1:5" ht="12.75">
      <c r="A998">
        <v>91</v>
      </c>
      <c r="B998" t="s">
        <v>208</v>
      </c>
      <c r="E998" s="6">
        <v>1963</v>
      </c>
    </row>
    <row r="999" spans="1:5" ht="12.75">
      <c r="A999">
        <v>92</v>
      </c>
      <c r="B999" t="s">
        <v>209</v>
      </c>
      <c r="E999" s="6">
        <v>1900</v>
      </c>
    </row>
    <row r="1000" spans="1:5" ht="12.75">
      <c r="A1000">
        <v>93</v>
      </c>
      <c r="B1000" t="s">
        <v>210</v>
      </c>
      <c r="E1000" s="6">
        <v>1858</v>
      </c>
    </row>
    <row r="1001" spans="1:5" ht="12.75">
      <c r="A1001">
        <v>94</v>
      </c>
      <c r="B1001" t="s">
        <v>211</v>
      </c>
      <c r="E1001" s="6">
        <v>1785</v>
      </c>
    </row>
    <row r="1002" spans="1:5" ht="12.75">
      <c r="A1002">
        <v>95</v>
      </c>
      <c r="B1002" t="s">
        <v>212</v>
      </c>
      <c r="E1002" s="6">
        <v>1780</v>
      </c>
    </row>
    <row r="1003" spans="1:5" ht="12.75">
      <c r="A1003">
        <v>96</v>
      </c>
      <c r="B1003" t="s">
        <v>213</v>
      </c>
      <c r="E1003" s="6">
        <v>1768</v>
      </c>
    </row>
    <row r="1004" spans="1:5" ht="12.75">
      <c r="A1004">
        <v>97</v>
      </c>
      <c r="B1004" t="s">
        <v>214</v>
      </c>
      <c r="E1004" s="6">
        <v>1658</v>
      </c>
    </row>
    <row r="1005" spans="1:5" ht="12.75">
      <c r="A1005">
        <v>98</v>
      </c>
      <c r="B1005" t="s">
        <v>215</v>
      </c>
      <c r="E1005" s="6">
        <v>1627</v>
      </c>
    </row>
    <row r="1006" spans="1:5" ht="12.75">
      <c r="A1006">
        <v>99</v>
      </c>
      <c r="B1006" t="s">
        <v>216</v>
      </c>
      <c r="E1006" s="6">
        <v>1622</v>
      </c>
    </row>
    <row r="1007" spans="1:5" ht="12.75">
      <c r="A1007">
        <v>100</v>
      </c>
      <c r="B1007" t="s">
        <v>217</v>
      </c>
      <c r="E1007" s="6">
        <v>1592</v>
      </c>
    </row>
    <row r="1008" spans="1:5" ht="12.75">
      <c r="A1008">
        <v>101</v>
      </c>
      <c r="B1008" t="s">
        <v>218</v>
      </c>
      <c r="E1008" s="6">
        <v>1579</v>
      </c>
    </row>
    <row r="1009" spans="1:5" ht="12.75">
      <c r="A1009">
        <v>102</v>
      </c>
      <c r="B1009" t="s">
        <v>219</v>
      </c>
      <c r="E1009" s="6">
        <v>1564</v>
      </c>
    </row>
    <row r="1010" spans="1:5" ht="12.75">
      <c r="A1010">
        <v>103</v>
      </c>
      <c r="B1010" t="s">
        <v>220</v>
      </c>
      <c r="E1010" s="6">
        <v>1518</v>
      </c>
    </row>
    <row r="1011" spans="1:5" ht="12.75">
      <c r="A1011">
        <v>104</v>
      </c>
      <c r="B1011" t="s">
        <v>221</v>
      </c>
      <c r="E1011" s="6">
        <v>1507</v>
      </c>
    </row>
    <row r="1012" spans="1:5" ht="12.75">
      <c r="A1012">
        <v>105</v>
      </c>
      <c r="B1012" t="s">
        <v>222</v>
      </c>
      <c r="E1012" s="6">
        <v>1492</v>
      </c>
    </row>
    <row r="1013" spans="1:5" ht="12.75">
      <c r="A1013">
        <v>106</v>
      </c>
      <c r="B1013" t="s">
        <v>223</v>
      </c>
      <c r="E1013" s="6">
        <v>1486</v>
      </c>
    </row>
    <row r="1014" spans="1:5" ht="12.75">
      <c r="A1014">
        <v>107</v>
      </c>
      <c r="B1014" t="s">
        <v>224</v>
      </c>
      <c r="E1014" s="6">
        <v>1450</v>
      </c>
    </row>
    <row r="1015" spans="1:5" ht="12.75">
      <c r="A1015">
        <v>108</v>
      </c>
      <c r="B1015" t="s">
        <v>225</v>
      </c>
      <c r="E1015" s="6">
        <v>1408</v>
      </c>
    </row>
    <row r="1016" spans="1:5" ht="12.75">
      <c r="A1016">
        <v>109</v>
      </c>
      <c r="B1016" t="s">
        <v>226</v>
      </c>
      <c r="E1016" s="6">
        <v>1379</v>
      </c>
    </row>
    <row r="1017" spans="1:5" ht="12.75">
      <c r="A1017">
        <v>110</v>
      </c>
      <c r="B1017" t="s">
        <v>227</v>
      </c>
      <c r="E1017" s="6">
        <v>1355</v>
      </c>
    </row>
    <row r="1018" spans="1:5" ht="12.75">
      <c r="A1018">
        <v>111</v>
      </c>
      <c r="B1018" t="s">
        <v>228</v>
      </c>
      <c r="E1018" s="6">
        <v>1344</v>
      </c>
    </row>
    <row r="1019" spans="1:5" ht="12.75">
      <c r="A1019">
        <v>112</v>
      </c>
      <c r="B1019" t="s">
        <v>229</v>
      </c>
      <c r="E1019" s="6">
        <v>1340</v>
      </c>
    </row>
    <row r="1020" spans="1:5" ht="12.75">
      <c r="A1020">
        <v>113</v>
      </c>
      <c r="B1020" t="s">
        <v>230</v>
      </c>
      <c r="E1020" s="6">
        <v>1332</v>
      </c>
    </row>
    <row r="1021" spans="1:5" ht="12.75">
      <c r="A1021">
        <v>114</v>
      </c>
      <c r="B1021" t="s">
        <v>231</v>
      </c>
      <c r="E1021" s="6">
        <v>1310</v>
      </c>
    </row>
    <row r="1022" spans="1:5" ht="12.75">
      <c r="A1022">
        <v>115</v>
      </c>
      <c r="B1022" t="s">
        <v>232</v>
      </c>
      <c r="E1022" s="6">
        <v>1306</v>
      </c>
    </row>
    <row r="1023" spans="1:5" ht="12.75">
      <c r="A1023">
        <v>116</v>
      </c>
      <c r="B1023" t="s">
        <v>233</v>
      </c>
      <c r="E1023" s="6">
        <v>1285</v>
      </c>
    </row>
    <row r="1024" spans="1:5" ht="12.75">
      <c r="A1024">
        <v>117</v>
      </c>
      <c r="B1024" t="s">
        <v>234</v>
      </c>
      <c r="E1024" s="6">
        <v>1281</v>
      </c>
    </row>
    <row r="1025" spans="1:5" ht="12.75">
      <c r="A1025">
        <v>118</v>
      </c>
      <c r="B1025" t="s">
        <v>235</v>
      </c>
      <c r="E1025" s="6">
        <v>1267</v>
      </c>
    </row>
    <row r="1026" spans="1:5" ht="12.75">
      <c r="A1026">
        <v>119</v>
      </c>
      <c r="B1026" t="s">
        <v>236</v>
      </c>
      <c r="E1026" s="6">
        <v>1248</v>
      </c>
    </row>
    <row r="1027" spans="1:5" ht="12.75">
      <c r="A1027">
        <v>120</v>
      </c>
      <c r="B1027" t="s">
        <v>237</v>
      </c>
      <c r="E1027" s="6">
        <v>1202</v>
      </c>
    </row>
    <row r="1028" spans="1:5" ht="12.75">
      <c r="A1028">
        <v>121</v>
      </c>
      <c r="B1028" t="s">
        <v>238</v>
      </c>
      <c r="E1028" s="6">
        <v>1185</v>
      </c>
    </row>
    <row r="1029" spans="1:5" ht="12.75">
      <c r="A1029">
        <v>122</v>
      </c>
      <c r="B1029" t="s">
        <v>239</v>
      </c>
      <c r="E1029" s="6">
        <v>1178</v>
      </c>
    </row>
    <row r="1030" spans="1:5" ht="12.75">
      <c r="A1030">
        <v>123</v>
      </c>
      <c r="B1030" t="s">
        <v>240</v>
      </c>
      <c r="E1030" s="6">
        <v>1154</v>
      </c>
    </row>
    <row r="1031" spans="1:5" ht="12.75">
      <c r="A1031">
        <v>124</v>
      </c>
      <c r="B1031" t="s">
        <v>241</v>
      </c>
      <c r="E1031" s="6">
        <v>1142</v>
      </c>
    </row>
    <row r="1032" spans="1:5" ht="12.75">
      <c r="A1032">
        <v>125</v>
      </c>
      <c r="B1032" t="s">
        <v>242</v>
      </c>
      <c r="E1032" s="6">
        <v>1134</v>
      </c>
    </row>
    <row r="1033" spans="1:5" ht="12.75">
      <c r="A1033">
        <v>126</v>
      </c>
      <c r="B1033" t="s">
        <v>243</v>
      </c>
      <c r="E1033" s="6">
        <v>1093</v>
      </c>
    </row>
    <row r="1034" spans="1:5" ht="12.75">
      <c r="A1034">
        <v>127</v>
      </c>
      <c r="B1034" t="s">
        <v>244</v>
      </c>
      <c r="E1034" s="6">
        <v>1092</v>
      </c>
    </row>
    <row r="1035" spans="1:5" ht="12.75">
      <c r="A1035">
        <v>128</v>
      </c>
      <c r="B1035" t="s">
        <v>245</v>
      </c>
      <c r="E1035" s="6">
        <v>1041</v>
      </c>
    </row>
    <row r="1036" spans="1:5" ht="12.75">
      <c r="A1036">
        <v>129</v>
      </c>
      <c r="B1036" t="s">
        <v>246</v>
      </c>
      <c r="E1036" s="6">
        <v>1002</v>
      </c>
    </row>
    <row r="1037" ht="12.75">
      <c r="E1037" s="6"/>
    </row>
    <row r="1038" spans="1:5" ht="12.75">
      <c r="A1038" t="s">
        <v>275</v>
      </c>
      <c r="E1038" s="6"/>
    </row>
    <row r="1039" spans="1:5" ht="12.75">
      <c r="A1039" t="s">
        <v>276</v>
      </c>
      <c r="E1039" s="6"/>
    </row>
    <row r="1040" ht="12.75">
      <c r="E1040" s="6"/>
    </row>
    <row r="1041" spans="1:5" ht="12.75">
      <c r="A1041">
        <v>130</v>
      </c>
      <c r="B1041" t="s">
        <v>247</v>
      </c>
      <c r="E1041">
        <v>993</v>
      </c>
    </row>
    <row r="1042" spans="1:5" ht="12.75">
      <c r="A1042">
        <v>131</v>
      </c>
      <c r="B1042" t="s">
        <v>248</v>
      </c>
      <c r="E1042">
        <v>992</v>
      </c>
    </row>
    <row r="1043" spans="1:5" ht="12.75">
      <c r="A1043">
        <v>132</v>
      </c>
      <c r="B1043" t="s">
        <v>249</v>
      </c>
      <c r="E1043">
        <v>883</v>
      </c>
    </row>
    <row r="1044" spans="1:5" ht="12.75">
      <c r="A1044">
        <v>133</v>
      </c>
      <c r="B1044" t="s">
        <v>250</v>
      </c>
      <c r="E1044">
        <v>866</v>
      </c>
    </row>
    <row r="1045" spans="1:5" ht="12.75">
      <c r="A1045">
        <v>134</v>
      </c>
      <c r="B1045" t="s">
        <v>251</v>
      </c>
      <c r="E1045">
        <v>857</v>
      </c>
    </row>
    <row r="1046" spans="1:5" ht="12.75">
      <c r="A1046">
        <v>135</v>
      </c>
      <c r="B1046" t="s">
        <v>252</v>
      </c>
      <c r="E1046">
        <v>842</v>
      </c>
    </row>
    <row r="1047" spans="1:5" ht="12.75">
      <c r="A1047">
        <v>136</v>
      </c>
      <c r="B1047" t="s">
        <v>253</v>
      </c>
      <c r="E1047">
        <v>826</v>
      </c>
    </row>
    <row r="1048" spans="1:5" ht="12.75">
      <c r="A1048">
        <v>137</v>
      </c>
      <c r="B1048" t="s">
        <v>254</v>
      </c>
      <c r="E1048">
        <v>794</v>
      </c>
    </row>
    <row r="1049" spans="1:5" ht="12.75">
      <c r="A1049">
        <v>138</v>
      </c>
      <c r="B1049" t="s">
        <v>255</v>
      </c>
      <c r="E1049">
        <v>761</v>
      </c>
    </row>
    <row r="1050" spans="1:5" ht="12.75">
      <c r="A1050">
        <v>139</v>
      </c>
      <c r="B1050" t="s">
        <v>256</v>
      </c>
      <c r="E1050">
        <v>736</v>
      </c>
    </row>
    <row r="1051" spans="1:5" ht="12.75">
      <c r="A1051">
        <v>140</v>
      </c>
      <c r="B1051" t="s">
        <v>257</v>
      </c>
      <c r="E1051">
        <v>714</v>
      </c>
    </row>
    <row r="1052" spans="1:5" ht="12.75">
      <c r="A1052">
        <v>141</v>
      </c>
      <c r="B1052" t="s">
        <v>258</v>
      </c>
      <c r="E1052">
        <v>699</v>
      </c>
    </row>
    <row r="1053" spans="1:5" ht="12.75">
      <c r="A1053">
        <v>142</v>
      </c>
      <c r="B1053" t="s">
        <v>259</v>
      </c>
      <c r="E1053">
        <v>687</v>
      </c>
    </row>
    <row r="1054" spans="1:5" ht="12.75">
      <c r="A1054">
        <v>143</v>
      </c>
      <c r="B1054" t="s">
        <v>260</v>
      </c>
      <c r="E1054">
        <v>662</v>
      </c>
    </row>
    <row r="1055" spans="1:5" ht="12.75">
      <c r="A1055">
        <v>144</v>
      </c>
      <c r="B1055" t="s">
        <v>261</v>
      </c>
      <c r="E1055">
        <v>138</v>
      </c>
    </row>
    <row r="1056" spans="1:5" ht="12.75">
      <c r="A1056">
        <v>145</v>
      </c>
      <c r="B1056" t="s">
        <v>262</v>
      </c>
      <c r="E1056">
        <v>30.03</v>
      </c>
    </row>
    <row r="1057" spans="1:5" ht="12.75">
      <c r="A1057">
        <v>146</v>
      </c>
      <c r="B1057" t="s">
        <v>263</v>
      </c>
      <c r="E1057">
        <v>22.17</v>
      </c>
    </row>
    <row r="1058" spans="1:5" ht="12.75">
      <c r="A1058">
        <v>147</v>
      </c>
      <c r="B1058" t="s">
        <v>264</v>
      </c>
      <c r="E1058">
        <v>14.73</v>
      </c>
    </row>
    <row r="1060" ht="12.75">
      <c r="A1060" t="s">
        <v>277</v>
      </c>
    </row>
    <row r="1061" ht="12.75">
      <c r="A1061" t="s">
        <v>285</v>
      </c>
    </row>
    <row r="1063" spans="1:5" ht="12.75">
      <c r="A1063">
        <v>148</v>
      </c>
      <c r="B1063" t="s">
        <v>265</v>
      </c>
      <c r="E1063">
        <v>8.16</v>
      </c>
    </row>
    <row r="1064" spans="1:5" ht="12.75">
      <c r="A1064">
        <v>149</v>
      </c>
      <c r="B1064" t="s">
        <v>266</v>
      </c>
      <c r="E1064">
        <v>3.85</v>
      </c>
    </row>
    <row r="1066" ht="12.75">
      <c r="A1066" t="s">
        <v>278</v>
      </c>
    </row>
    <row r="1067" ht="12.75">
      <c r="A1067" t="s">
        <v>279</v>
      </c>
    </row>
    <row r="1068" ht="12.75">
      <c r="A1068" t="s">
        <v>286</v>
      </c>
    </row>
    <row r="1070" spans="1:5" ht="12.75">
      <c r="A1070">
        <v>150</v>
      </c>
      <c r="B1070" t="s">
        <v>267</v>
      </c>
      <c r="E1070">
        <v>0.87</v>
      </c>
    </row>
    <row r="1073" ht="12.75">
      <c r="A1073" s="1" t="s">
        <v>384</v>
      </c>
    </row>
    <row r="1074" ht="12.75">
      <c r="A1074" s="29" t="s">
        <v>348</v>
      </c>
    </row>
    <row r="1076" spans="1:3" ht="12.75">
      <c r="A1076" t="s">
        <v>294</v>
      </c>
      <c r="C1076" s="15">
        <v>5000</v>
      </c>
    </row>
    <row r="1077" spans="1:3" ht="12.75">
      <c r="A1077" t="s">
        <v>295</v>
      </c>
      <c r="C1077" s="17">
        <v>0.5</v>
      </c>
    </row>
    <row r="1078" spans="1:3" ht="12.75">
      <c r="A1078" t="s">
        <v>296</v>
      </c>
      <c r="C1078" s="15">
        <v>7500</v>
      </c>
    </row>
    <row r="1079" spans="1:3" ht="12.75">
      <c r="A1079" t="s">
        <v>297</v>
      </c>
      <c r="C1079">
        <v>132</v>
      </c>
    </row>
    <row r="1080" spans="1:3" ht="12.75">
      <c r="A1080" t="s">
        <v>298</v>
      </c>
      <c r="C1080" s="6">
        <v>1500</v>
      </c>
    </row>
    <row r="1081" spans="1:3" ht="12.75">
      <c r="A1081" t="s">
        <v>299</v>
      </c>
      <c r="C1081" s="3" t="s">
        <v>300</v>
      </c>
    </row>
    <row r="1082" spans="1:3" ht="12.75">
      <c r="A1082" t="s">
        <v>301</v>
      </c>
      <c r="C1082">
        <v>1</v>
      </c>
    </row>
    <row r="1083" spans="1:3" ht="12.75">
      <c r="A1083" t="s">
        <v>302</v>
      </c>
      <c r="C1083" s="3" t="s">
        <v>303</v>
      </c>
    </row>
    <row r="1084" spans="1:3" ht="12.75">
      <c r="A1084" t="s">
        <v>304</v>
      </c>
      <c r="C1084">
        <v>128</v>
      </c>
    </row>
    <row r="1086" spans="1:10" ht="12.75">
      <c r="A1086" t="s">
        <v>305</v>
      </c>
      <c r="B1086" s="3" t="s">
        <v>306</v>
      </c>
      <c r="C1086" s="3" t="s">
        <v>307</v>
      </c>
      <c r="D1086" s="3" t="s">
        <v>308</v>
      </c>
      <c r="E1086" s="3" t="s">
        <v>309</v>
      </c>
      <c r="F1086" s="3" t="s">
        <v>310</v>
      </c>
      <c r="G1086" s="3"/>
      <c r="H1086" s="3"/>
      <c r="I1086" s="3"/>
      <c r="J1086" s="3"/>
    </row>
    <row r="1087" spans="2:10" ht="12.75">
      <c r="B1087" s="3" t="s">
        <v>347</v>
      </c>
      <c r="C1087" s="3" t="s">
        <v>347</v>
      </c>
      <c r="D1087" s="3" t="s">
        <v>311</v>
      </c>
      <c r="E1087" s="3" t="s">
        <v>312</v>
      </c>
      <c r="F1087" s="3" t="s">
        <v>312</v>
      </c>
      <c r="G1087" s="3" t="s">
        <v>313</v>
      </c>
      <c r="H1087" s="3"/>
      <c r="I1087" s="3" t="s">
        <v>314</v>
      </c>
      <c r="J1087" s="3" t="s">
        <v>314</v>
      </c>
    </row>
    <row r="1088" spans="2:10" ht="12.75">
      <c r="B1088" s="3" t="s">
        <v>315</v>
      </c>
      <c r="C1088" s="3" t="s">
        <v>316</v>
      </c>
      <c r="D1088" s="3" t="s">
        <v>347</v>
      </c>
      <c r="E1088" s="3" t="s">
        <v>347</v>
      </c>
      <c r="F1088" s="3" t="s">
        <v>347</v>
      </c>
      <c r="G1088" s="3" t="s">
        <v>317</v>
      </c>
      <c r="H1088" s="3" t="s">
        <v>306</v>
      </c>
      <c r="I1088" s="3" t="s">
        <v>317</v>
      </c>
      <c r="J1088" s="3" t="s">
        <v>318</v>
      </c>
    </row>
    <row r="1089" spans="2:3" ht="12.75">
      <c r="B1089" s="3" t="s">
        <v>319</v>
      </c>
      <c r="C1089" s="3" t="s">
        <v>320</v>
      </c>
    </row>
    <row r="1091" spans="1:10" ht="12.75">
      <c r="A1091" t="s">
        <v>321</v>
      </c>
      <c r="B1091" s="5">
        <v>500</v>
      </c>
      <c r="C1091" s="5">
        <v>200</v>
      </c>
      <c r="D1091">
        <v>0.66</v>
      </c>
      <c r="E1091" s="46">
        <v>25</v>
      </c>
      <c r="F1091" s="46">
        <v>37.5</v>
      </c>
      <c r="G1091" s="5">
        <v>2.5</v>
      </c>
      <c r="H1091" s="5">
        <v>3</v>
      </c>
      <c r="I1091" s="42">
        <v>7.5</v>
      </c>
      <c r="J1091" s="5">
        <v>990</v>
      </c>
    </row>
    <row r="1092" spans="1:10" ht="12.75">
      <c r="A1092" t="s">
        <v>322</v>
      </c>
      <c r="B1092" s="5">
        <v>500</v>
      </c>
      <c r="C1092" s="5">
        <v>150</v>
      </c>
      <c r="D1092">
        <v>0.88</v>
      </c>
      <c r="E1092" s="46">
        <v>33.33</v>
      </c>
      <c r="F1092" s="46">
        <v>50</v>
      </c>
      <c r="G1092" s="5">
        <v>3.33</v>
      </c>
      <c r="H1092" s="5">
        <v>3</v>
      </c>
      <c r="I1092" s="42">
        <v>10</v>
      </c>
      <c r="J1092" s="5">
        <v>1320</v>
      </c>
    </row>
    <row r="1093" spans="1:10" ht="12.75">
      <c r="A1093" t="s">
        <v>323</v>
      </c>
      <c r="B1093" s="5">
        <v>1000</v>
      </c>
      <c r="C1093" s="5">
        <v>300</v>
      </c>
      <c r="D1093">
        <v>0.44</v>
      </c>
      <c r="E1093" s="46">
        <v>16.67</v>
      </c>
      <c r="F1093" s="46">
        <v>25</v>
      </c>
      <c r="G1093" s="5">
        <v>3.33</v>
      </c>
      <c r="H1093" s="5">
        <v>1.5</v>
      </c>
      <c r="I1093" s="42">
        <v>5</v>
      </c>
      <c r="J1093" s="5">
        <v>660</v>
      </c>
    </row>
    <row r="1094" spans="1:10" ht="12.75">
      <c r="A1094" t="s">
        <v>324</v>
      </c>
      <c r="B1094" s="5">
        <v>1000</v>
      </c>
      <c r="C1094" s="5">
        <v>500</v>
      </c>
      <c r="D1094">
        <v>0.26</v>
      </c>
      <c r="E1094" s="46">
        <v>10</v>
      </c>
      <c r="F1094" s="46">
        <v>15</v>
      </c>
      <c r="G1094" s="5">
        <v>2</v>
      </c>
      <c r="H1094" s="5">
        <v>1.5</v>
      </c>
      <c r="I1094" s="42">
        <v>3</v>
      </c>
      <c r="J1094" s="5">
        <v>396</v>
      </c>
    </row>
    <row r="1095" spans="1:10" ht="12.75">
      <c r="A1095" t="s">
        <v>325</v>
      </c>
      <c r="B1095" s="5">
        <v>250</v>
      </c>
      <c r="C1095" s="5">
        <v>175</v>
      </c>
      <c r="D1095">
        <v>0.75</v>
      </c>
      <c r="E1095" s="46">
        <v>28.57</v>
      </c>
      <c r="F1095" s="46">
        <v>42.86</v>
      </c>
      <c r="G1095" s="5">
        <v>2.86</v>
      </c>
      <c r="H1095" s="5">
        <v>3</v>
      </c>
      <c r="I1095" s="42">
        <v>8.57</v>
      </c>
      <c r="J1095" s="5">
        <v>1131</v>
      </c>
    </row>
    <row r="1096" spans="1:10" ht="12.75">
      <c r="A1096" t="s">
        <v>326</v>
      </c>
      <c r="B1096" s="5">
        <v>250</v>
      </c>
      <c r="C1096" s="5">
        <v>150</v>
      </c>
      <c r="D1096">
        <v>0.88</v>
      </c>
      <c r="E1096" s="46">
        <v>33.33</v>
      </c>
      <c r="F1096" s="46">
        <v>50</v>
      </c>
      <c r="G1096" s="5">
        <v>1.67</v>
      </c>
      <c r="H1096" s="5">
        <v>6</v>
      </c>
      <c r="I1096" s="42">
        <v>10</v>
      </c>
      <c r="J1096" s="5">
        <v>1320</v>
      </c>
    </row>
    <row r="1097" spans="1:10" ht="12.75">
      <c r="A1097" t="s">
        <v>327</v>
      </c>
      <c r="B1097" s="5">
        <v>200</v>
      </c>
      <c r="C1097" s="5">
        <v>225</v>
      </c>
      <c r="D1097">
        <v>0.59</v>
      </c>
      <c r="E1097" s="46">
        <v>22.22</v>
      </c>
      <c r="F1097" s="46">
        <v>33.33</v>
      </c>
      <c r="G1097" s="5">
        <v>0.89</v>
      </c>
      <c r="H1097" s="5">
        <v>7.5</v>
      </c>
      <c r="I1097" s="42">
        <v>6.67</v>
      </c>
      <c r="J1097" s="5">
        <v>880</v>
      </c>
    </row>
    <row r="1098" spans="1:10" ht="12.75">
      <c r="A1098" t="s">
        <v>328</v>
      </c>
      <c r="B1098" s="5">
        <v>150</v>
      </c>
      <c r="C1098" s="5">
        <v>25</v>
      </c>
      <c r="D1098">
        <v>5.28</v>
      </c>
      <c r="E1098" s="46">
        <v>200</v>
      </c>
      <c r="F1098" s="46">
        <v>300</v>
      </c>
      <c r="G1098" s="5">
        <v>6</v>
      </c>
      <c r="H1098" s="5">
        <v>10</v>
      </c>
      <c r="I1098" s="42">
        <v>60</v>
      </c>
      <c r="J1098" s="5">
        <v>7920</v>
      </c>
    </row>
    <row r="1099" spans="1:10" ht="12.75">
      <c r="A1099" t="s">
        <v>329</v>
      </c>
      <c r="B1099" s="5">
        <v>500</v>
      </c>
      <c r="C1099" s="5">
        <v>1000</v>
      </c>
      <c r="D1099">
        <v>0.13</v>
      </c>
      <c r="E1099" s="46">
        <v>5</v>
      </c>
      <c r="F1099" s="46">
        <v>7.5</v>
      </c>
      <c r="G1099" s="5">
        <v>0.5</v>
      </c>
      <c r="H1099" s="5">
        <v>3</v>
      </c>
      <c r="I1099" s="42">
        <v>1.5</v>
      </c>
      <c r="J1099" s="5">
        <v>198</v>
      </c>
    </row>
    <row r="1100" spans="1:10" ht="12.75">
      <c r="A1100" t="s">
        <v>330</v>
      </c>
      <c r="B1100" s="5">
        <v>2000</v>
      </c>
      <c r="C1100" s="5">
        <v>2000</v>
      </c>
      <c r="D1100">
        <v>0.07</v>
      </c>
      <c r="E1100" s="46">
        <v>2.5</v>
      </c>
      <c r="F1100" s="46">
        <v>3.75</v>
      </c>
      <c r="G1100" s="5">
        <v>1</v>
      </c>
      <c r="H1100" s="5">
        <v>0.75</v>
      </c>
      <c r="I1100" s="42">
        <v>0.75</v>
      </c>
      <c r="J1100" s="5">
        <v>99</v>
      </c>
    </row>
    <row r="1101" spans="1:10" ht="12.75">
      <c r="A1101" t="s">
        <v>331</v>
      </c>
      <c r="B1101" s="5">
        <v>150</v>
      </c>
      <c r="C1101" s="5">
        <v>75</v>
      </c>
      <c r="D1101">
        <v>1.76</v>
      </c>
      <c r="E1101" s="46">
        <v>66.67</v>
      </c>
      <c r="F1101" s="46">
        <v>100</v>
      </c>
      <c r="G1101" s="5">
        <v>2</v>
      </c>
      <c r="H1101" s="5">
        <v>10</v>
      </c>
      <c r="I1101" s="42">
        <v>20</v>
      </c>
      <c r="J1101" s="5">
        <v>2640</v>
      </c>
    </row>
    <row r="1102" spans="1:10" ht="12.75">
      <c r="A1102" t="s">
        <v>332</v>
      </c>
      <c r="B1102" s="5">
        <v>1000</v>
      </c>
      <c r="C1102" s="5">
        <v>250</v>
      </c>
      <c r="D1102">
        <v>0.53</v>
      </c>
      <c r="E1102" s="46">
        <v>20</v>
      </c>
      <c r="F1102" s="46">
        <v>30</v>
      </c>
      <c r="G1102" s="5">
        <v>4</v>
      </c>
      <c r="H1102" s="5">
        <v>1.5</v>
      </c>
      <c r="I1102" s="42">
        <v>6</v>
      </c>
      <c r="J1102" s="5">
        <v>792</v>
      </c>
    </row>
    <row r="1103" spans="1:10" ht="12.75">
      <c r="A1103" t="s">
        <v>333</v>
      </c>
      <c r="B1103" s="5">
        <v>1500</v>
      </c>
      <c r="C1103" s="5">
        <v>1750</v>
      </c>
      <c r="D1103">
        <v>0.08</v>
      </c>
      <c r="E1103" s="46">
        <v>2.86</v>
      </c>
      <c r="F1103" s="46">
        <v>4.29</v>
      </c>
      <c r="G1103" s="5">
        <v>0.86</v>
      </c>
      <c r="H1103" s="5">
        <v>1</v>
      </c>
      <c r="I1103" s="42">
        <v>0.86</v>
      </c>
      <c r="J1103" s="5">
        <v>113</v>
      </c>
    </row>
    <row r="1104" spans="1:10" ht="12.75">
      <c r="A1104" t="s">
        <v>334</v>
      </c>
      <c r="B1104" s="5">
        <v>750</v>
      </c>
      <c r="C1104" s="5">
        <v>350</v>
      </c>
      <c r="D1104">
        <v>0.38</v>
      </c>
      <c r="E1104" s="46">
        <v>14.29</v>
      </c>
      <c r="F1104" s="46">
        <v>21.43</v>
      </c>
      <c r="G1104" s="5">
        <v>2.14</v>
      </c>
      <c r="H1104" s="5">
        <v>2</v>
      </c>
      <c r="I1104" s="42">
        <v>4.29</v>
      </c>
      <c r="J1104" s="5">
        <v>566</v>
      </c>
    </row>
    <row r="1105" spans="1:10" ht="12.75">
      <c r="A1105" t="s">
        <v>335</v>
      </c>
      <c r="B1105" s="5">
        <v>1000</v>
      </c>
      <c r="C1105" s="5">
        <v>75</v>
      </c>
      <c r="D1105">
        <v>1.76</v>
      </c>
      <c r="E1105" s="46">
        <v>66.67</v>
      </c>
      <c r="F1105" s="46">
        <v>100</v>
      </c>
      <c r="G1105" s="5">
        <v>13.33</v>
      </c>
      <c r="H1105" s="5">
        <v>1.5</v>
      </c>
      <c r="I1105" s="42">
        <v>20</v>
      </c>
      <c r="J1105" s="5">
        <v>2640</v>
      </c>
    </row>
    <row r="1106" spans="1:10" ht="12.75">
      <c r="A1106" t="s">
        <v>336</v>
      </c>
      <c r="B1106" s="5">
        <v>200</v>
      </c>
      <c r="C1106" s="5">
        <v>150</v>
      </c>
      <c r="D1106">
        <v>0.88</v>
      </c>
      <c r="E1106" s="46">
        <v>33.33</v>
      </c>
      <c r="F1106" s="46">
        <v>50</v>
      </c>
      <c r="G1106" s="5">
        <v>1.33</v>
      </c>
      <c r="H1106" s="5">
        <v>7.5</v>
      </c>
      <c r="I1106" s="42">
        <v>10</v>
      </c>
      <c r="J1106" s="5">
        <v>1320</v>
      </c>
    </row>
    <row r="1107" spans="1:10" ht="12.75">
      <c r="A1107" t="s">
        <v>337</v>
      </c>
      <c r="B1107" s="5">
        <v>250</v>
      </c>
      <c r="C1107" s="5">
        <v>150</v>
      </c>
      <c r="D1107">
        <v>0.88</v>
      </c>
      <c r="E1107" s="46">
        <v>33.33</v>
      </c>
      <c r="F1107" s="46">
        <v>50</v>
      </c>
      <c r="G1107" s="5">
        <v>1.67</v>
      </c>
      <c r="H1107" s="5">
        <v>6</v>
      </c>
      <c r="I1107" s="42">
        <v>10</v>
      </c>
      <c r="J1107" s="5">
        <v>1320</v>
      </c>
    </row>
    <row r="1108" spans="1:10" ht="12.75">
      <c r="A1108" t="s">
        <v>338</v>
      </c>
      <c r="B1108" s="5">
        <v>250</v>
      </c>
      <c r="C1108" s="5">
        <v>175</v>
      </c>
      <c r="D1108">
        <v>0.75</v>
      </c>
      <c r="E1108" s="46">
        <v>28.57</v>
      </c>
      <c r="F1108" s="46">
        <v>42.86</v>
      </c>
      <c r="G1108" s="5">
        <v>1.43</v>
      </c>
      <c r="H1108" s="5">
        <v>6</v>
      </c>
      <c r="I1108" s="42">
        <v>8.57</v>
      </c>
      <c r="J1108" s="5">
        <v>1131</v>
      </c>
    </row>
    <row r="1109" spans="1:10" ht="12.75">
      <c r="A1109" t="s">
        <v>339</v>
      </c>
      <c r="B1109" s="5">
        <v>250</v>
      </c>
      <c r="C1109" s="5">
        <v>200</v>
      </c>
      <c r="D1109">
        <v>0.66</v>
      </c>
      <c r="E1109" s="46">
        <v>25</v>
      </c>
      <c r="F1109" s="46">
        <v>37.5</v>
      </c>
      <c r="G1109" s="5">
        <v>1.25</v>
      </c>
      <c r="H1109" s="5">
        <v>6</v>
      </c>
      <c r="I1109" s="42">
        <v>7.5</v>
      </c>
      <c r="J1109" s="5">
        <v>990</v>
      </c>
    </row>
    <row r="1110" spans="1:10" ht="12.75">
      <c r="A1110" t="s">
        <v>340</v>
      </c>
      <c r="B1110" s="5">
        <v>1000</v>
      </c>
      <c r="C1110" s="5">
        <v>250</v>
      </c>
      <c r="D1110">
        <v>0.53</v>
      </c>
      <c r="E1110" s="46">
        <v>20</v>
      </c>
      <c r="F1110" s="46">
        <v>30</v>
      </c>
      <c r="G1110" s="5">
        <v>4</v>
      </c>
      <c r="H1110" s="5">
        <v>1.5</v>
      </c>
      <c r="I1110" s="42">
        <v>6</v>
      </c>
      <c r="J1110" s="5">
        <v>792</v>
      </c>
    </row>
    <row r="1111" spans="1:10" ht="12.75">
      <c r="A1111" t="s">
        <v>341</v>
      </c>
      <c r="B1111" s="5">
        <v>1000</v>
      </c>
      <c r="C1111" s="5">
        <v>350</v>
      </c>
      <c r="D1111">
        <v>0.38</v>
      </c>
      <c r="E1111" s="46">
        <v>14.29</v>
      </c>
      <c r="F1111" s="46">
        <v>21.43</v>
      </c>
      <c r="G1111" s="5">
        <v>2.86</v>
      </c>
      <c r="H1111" s="5">
        <v>1.5</v>
      </c>
      <c r="I1111" s="42">
        <v>4.29</v>
      </c>
      <c r="J1111" s="5">
        <v>566</v>
      </c>
    </row>
    <row r="1112" spans="1:10" ht="12.75">
      <c r="A1112" t="s">
        <v>342</v>
      </c>
      <c r="B1112" s="5">
        <v>750</v>
      </c>
      <c r="C1112" s="5">
        <v>200</v>
      </c>
      <c r="D1112">
        <v>0.66</v>
      </c>
      <c r="E1112" s="46">
        <v>25</v>
      </c>
      <c r="F1112" s="46">
        <v>37.5</v>
      </c>
      <c r="G1112" s="5">
        <v>3.75</v>
      </c>
      <c r="H1112" s="5">
        <v>2</v>
      </c>
      <c r="I1112" s="42">
        <v>7.5</v>
      </c>
      <c r="J1112" s="5">
        <v>990</v>
      </c>
    </row>
    <row r="1113" spans="1:10" ht="12.75">
      <c r="A1113" t="s">
        <v>343</v>
      </c>
      <c r="B1113" s="5">
        <v>1500</v>
      </c>
      <c r="C1113" s="5">
        <v>250</v>
      </c>
      <c r="D1113">
        <v>0.53</v>
      </c>
      <c r="E1113" s="46">
        <v>20</v>
      </c>
      <c r="F1113" s="46">
        <v>30</v>
      </c>
      <c r="G1113" s="5">
        <v>6</v>
      </c>
      <c r="H1113" s="5">
        <v>1</v>
      </c>
      <c r="I1113" s="42">
        <v>6</v>
      </c>
      <c r="J1113" s="5">
        <v>792</v>
      </c>
    </row>
    <row r="1114" spans="1:10" ht="12.75">
      <c r="A1114" t="s">
        <v>344</v>
      </c>
      <c r="B1114" s="5">
        <v>1500</v>
      </c>
      <c r="C1114" s="5">
        <v>250</v>
      </c>
      <c r="D1114">
        <v>0.53</v>
      </c>
      <c r="E1114" s="46">
        <v>20</v>
      </c>
      <c r="F1114" s="46">
        <v>30</v>
      </c>
      <c r="G1114" s="5">
        <v>6</v>
      </c>
      <c r="H1114" s="5">
        <v>1</v>
      </c>
      <c r="I1114" s="42">
        <v>6</v>
      </c>
      <c r="J1114" s="5">
        <v>792</v>
      </c>
    </row>
    <row r="1115" spans="1:10" ht="12.75">
      <c r="A1115" t="s">
        <v>345</v>
      </c>
      <c r="B1115" s="5">
        <v>1000</v>
      </c>
      <c r="C1115" s="5">
        <v>75</v>
      </c>
      <c r="D1115">
        <v>1.76</v>
      </c>
      <c r="E1115" s="46">
        <v>66.67</v>
      </c>
      <c r="F1115" s="46">
        <v>100</v>
      </c>
      <c r="G1115" s="5">
        <v>13.33</v>
      </c>
      <c r="H1115" s="5">
        <v>1.5</v>
      </c>
      <c r="I1115" s="42">
        <v>20</v>
      </c>
      <c r="J1115" s="5">
        <v>2640</v>
      </c>
    </row>
    <row r="1116" spans="2:10" ht="12.75">
      <c r="B1116" s="5"/>
      <c r="C1116" s="5"/>
      <c r="G1116" s="5"/>
      <c r="H1116" s="5"/>
      <c r="J1116" s="5"/>
    </row>
    <row r="1117" spans="1:10" ht="12.75">
      <c r="A1117" t="s">
        <v>346</v>
      </c>
      <c r="B1117" s="5">
        <v>420</v>
      </c>
      <c r="C1117" s="5">
        <v>6</v>
      </c>
      <c r="D1117" s="42">
        <v>22</v>
      </c>
      <c r="E1117" s="46">
        <v>833.29</v>
      </c>
      <c r="F1117" s="46">
        <v>1249.94</v>
      </c>
      <c r="G1117" s="5">
        <v>24.65</v>
      </c>
      <c r="H1117" s="5">
        <v>3.57</v>
      </c>
      <c r="I1117">
        <v>249.99</v>
      </c>
      <c r="J1117" s="5">
        <v>32998</v>
      </c>
    </row>
    <row r="1118" spans="2:10" ht="12.75">
      <c r="B1118" s="5"/>
      <c r="C1118" s="5"/>
      <c r="D1118" s="42"/>
      <c r="E1118" s="46"/>
      <c r="F1118" s="46"/>
      <c r="G1118" s="5"/>
      <c r="H1118" s="5"/>
      <c r="J1118" s="5"/>
    </row>
    <row r="1120" ht="12.75">
      <c r="A1120" t="s">
        <v>392</v>
      </c>
    </row>
    <row r="1122" ht="12.75">
      <c r="A1122" t="s">
        <v>393</v>
      </c>
    </row>
    <row r="1123" ht="12.75">
      <c r="A1123" t="s">
        <v>394</v>
      </c>
    </row>
    <row r="1124" ht="12.75">
      <c r="A1124" t="s">
        <v>395</v>
      </c>
    </row>
    <row r="1126" ht="12.75">
      <c r="A1126" s="1" t="s">
        <v>389</v>
      </c>
    </row>
    <row r="1127" spans="1:2" ht="12.75">
      <c r="A1127" t="s">
        <v>114</v>
      </c>
      <c r="B1127" t="s">
        <v>390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Capers Jones</dc:creator>
  <cp:keywords/>
  <dc:description/>
  <cp:lastModifiedBy>Capers Jones</cp:lastModifiedBy>
  <dcterms:created xsi:type="dcterms:W3CDTF">2008-03-14T14:19:25Z</dcterms:created>
  <dcterms:modified xsi:type="dcterms:W3CDTF">2008-04-16T07:56:07Z</dcterms:modified>
  <cp:category/>
  <cp:version/>
  <cp:contentType/>
  <cp:contentStatus/>
</cp:coreProperties>
</file>